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defaultThemeVersion="124226"/>
  <mc:AlternateContent xmlns:mc="http://schemas.openxmlformats.org/markup-compatibility/2006">
    <mc:Choice Requires="x15">
      <x15ac:absPath xmlns:x15ac="http://schemas.microsoft.com/office/spreadsheetml/2010/11/ac" url="https://sawater-my.sharepoint.com/personal/gianina_rogers_sawater_com_au/Documents/Website - TWES FeesCharges updates FY/2026-27 Webby TWES docs/"/>
    </mc:Choice>
  </mc:AlternateContent>
  <xr:revisionPtr revIDLastSave="32" documentId="8_{E3ED54C5-3E8E-4E1D-946B-925C365D1948}" xr6:coauthVersionLast="47" xr6:coauthVersionMax="47" xr10:uidLastSave="{16E9A72C-F28A-4702-A14B-BD1363EF6362}"/>
  <bookViews>
    <workbookView xWindow="-120" yWindow="-120" windowWidth="29040" windowHeight="17520" xr2:uid="{00000000-000D-0000-FFFF-FFFF00000000}"/>
  </bookViews>
  <sheets>
    <sheet name="Trade Waste Charges Calculator" sheetId="7" r:id="rId1"/>
    <sheet name="TW Charges" sheetId="5" state="hidden" r:id="rId2"/>
  </sheets>
  <definedNames>
    <definedName name="_xlnm.Print_Area" localSheetId="0">'Trade Waste Charges Calculator'!$C$20:$O$65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7" l="1"/>
  <c r="J36" i="7"/>
  <c r="J33" i="7"/>
  <c r="J30" i="7"/>
  <c r="F41" i="7"/>
  <c r="E25" i="7"/>
  <c r="E24" i="7"/>
  <c r="E23" i="7"/>
  <c r="F38" i="7"/>
  <c r="F35" i="7"/>
  <c r="F32" i="7"/>
  <c r="F28" i="7"/>
  <c r="J24" i="7"/>
  <c r="B11" i="7"/>
  <c r="J23" i="7"/>
  <c r="G26" i="7"/>
  <c r="O48" i="7"/>
  <c r="O50" i="7" s="1"/>
  <c r="J48" i="7"/>
  <c r="J32" i="7"/>
  <c r="C20" i="7"/>
  <c r="B18" i="7"/>
  <c r="J38" i="7"/>
  <c r="J35" i="7"/>
  <c r="J28" i="7"/>
  <c r="J29" i="7"/>
  <c r="O52" i="7" l="1"/>
  <c r="O38" i="7"/>
  <c r="O35" i="7"/>
  <c r="O39" i="7"/>
  <c r="O36" i="7"/>
  <c r="O33" i="7"/>
  <c r="O32" i="7"/>
  <c r="O30" i="7"/>
  <c r="O29" i="7"/>
  <c r="J21" i="7"/>
  <c r="O28" i="7"/>
  <c r="O23" i="7"/>
  <c r="O24" i="7" s="1"/>
  <c r="O43" i="7" l="1"/>
  <c r="O56" i="7" s="1"/>
  <c r="O44" i="7"/>
  <c r="O57" i="7" l="1"/>
  <c r="O46" i="7"/>
  <c r="O5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 Georgeff</author>
  </authors>
  <commentList>
    <comment ref="H23" authorId="0" shapeId="0" xr:uid="{00000000-0006-0000-0000-000001000000}">
      <text>
        <r>
          <rPr>
            <b/>
            <sz val="9"/>
            <color indexed="81"/>
            <rFont val="Tahoma"/>
            <family val="2"/>
          </rPr>
          <t>Monthly Limit</t>
        </r>
      </text>
    </comment>
    <comment ref="G47" authorId="0" shapeId="0" xr:uid="{00000000-0006-0000-0000-000002000000}">
      <text>
        <r>
          <rPr>
            <b/>
            <sz val="9"/>
            <color indexed="81"/>
            <rFont val="Tahoma"/>
            <family val="2"/>
          </rPr>
          <t>Enter total cost of a single sampling event
(excluding GST)
GST is accounted for in the adjacent calculation</t>
        </r>
      </text>
    </comment>
    <comment ref="G48" authorId="0" shapeId="0" xr:uid="{00000000-0006-0000-0000-000003000000}">
      <text>
        <r>
          <rPr>
            <b/>
            <sz val="9"/>
            <color indexed="81"/>
            <rFont val="Tahoma"/>
            <family val="2"/>
          </rPr>
          <t>Enter number of sampling events for the quarter</t>
        </r>
      </text>
    </comment>
    <comment ref="O48" authorId="0" shapeId="0" xr:uid="{00000000-0006-0000-0000-000004000000}">
      <text>
        <r>
          <rPr>
            <b/>
            <sz val="9"/>
            <color indexed="81"/>
            <rFont val="Tahoma"/>
            <family val="2"/>
          </rPr>
          <t>GST included here automatically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 Georgeff</author>
  </authors>
  <commentList>
    <comment ref="F5" authorId="0" shapeId="0" xr:uid="{00000000-0006-0000-0100-000001000000}">
      <text>
        <r>
          <rPr>
            <b/>
            <sz val="9"/>
            <color indexed="81"/>
            <rFont val="Tahoma"/>
            <family val="2"/>
          </rPr>
          <t>Non compliance charge</t>
        </r>
      </text>
    </comment>
    <comment ref="F7" authorId="0" shapeId="0" xr:uid="{00000000-0006-0000-0100-000002000000}">
      <text>
        <r>
          <rPr>
            <sz val="9"/>
            <color indexed="81"/>
            <rFont val="Tahoma"/>
            <family val="2"/>
          </rPr>
          <t>Enter cost reflective charge for BOD in cell F7</t>
        </r>
      </text>
    </comment>
  </commentList>
</comments>
</file>

<file path=xl/sharedStrings.xml><?xml version="1.0" encoding="utf-8"?>
<sst xmlns="http://schemas.openxmlformats.org/spreadsheetml/2006/main" count="65" uniqueCount="59">
  <si>
    <t>This calculator has been developed to assist Trade Waste Volume and Load Based (VLB) Customers to calculate an estimate of trade waste charges.</t>
  </si>
  <si>
    <t>Further information on current fees and charges is available via the Trade Waste Fees and Charges link below:</t>
  </si>
  <si>
    <t>Trade waste fees and charges</t>
  </si>
  <si>
    <t>To use the calculator enter the appropriate amounts in the blue and red boxes.</t>
  </si>
  <si>
    <t>Sampling Result</t>
  </si>
  <si>
    <t>Permit Limit</t>
  </si>
  <si>
    <r>
      <rPr>
        <b/>
        <sz val="10"/>
        <rFont val="Calibri"/>
        <family val="2"/>
      </rPr>
      <t>Volume</t>
    </r>
    <r>
      <rPr>
        <sz val="10"/>
        <rFont val="Calibri"/>
        <family val="2"/>
      </rPr>
      <t xml:space="preserve"> to sewer (kilolitres)</t>
    </r>
  </si>
  <si>
    <t>Month 1</t>
  </si>
  <si>
    <t>Month 2</t>
  </si>
  <si>
    <t>Month 3</t>
  </si>
  <si>
    <t>Qtr Volume</t>
  </si>
  <si>
    <r>
      <t xml:space="preserve">Average </t>
    </r>
    <r>
      <rPr>
        <b/>
        <sz val="10"/>
        <rFont val="Calibri"/>
        <family val="2"/>
      </rPr>
      <t>BOD</t>
    </r>
    <r>
      <rPr>
        <sz val="10"/>
        <rFont val="Calibri"/>
        <family val="2"/>
      </rPr>
      <t xml:space="preserve"> concentration in mg/L</t>
    </r>
  </si>
  <si>
    <t>Biochemical Oxygen Demand</t>
  </si>
  <si>
    <r>
      <t xml:space="preserve">Average </t>
    </r>
    <r>
      <rPr>
        <b/>
        <sz val="10"/>
        <rFont val="Calibri"/>
        <family val="2"/>
      </rPr>
      <t>SS</t>
    </r>
    <r>
      <rPr>
        <sz val="10"/>
        <rFont val="Calibri"/>
        <family val="2"/>
      </rPr>
      <t xml:space="preserve"> concentration in mg/L</t>
    </r>
  </si>
  <si>
    <t>Suspended Solids</t>
  </si>
  <si>
    <r>
      <t xml:space="preserve">Average </t>
    </r>
    <r>
      <rPr>
        <b/>
        <sz val="10"/>
        <rFont val="Calibri"/>
        <family val="2"/>
      </rPr>
      <t xml:space="preserve">TKN </t>
    </r>
    <r>
      <rPr>
        <sz val="10"/>
        <rFont val="Calibri"/>
        <family val="2"/>
      </rPr>
      <t>concentration in mg/L</t>
    </r>
  </si>
  <si>
    <t>Total Kjeldahl Nitrogen</t>
  </si>
  <si>
    <r>
      <t xml:space="preserve">Average </t>
    </r>
    <r>
      <rPr>
        <b/>
        <sz val="10"/>
        <rFont val="Calibri"/>
        <family val="2"/>
      </rPr>
      <t>TP</t>
    </r>
    <r>
      <rPr>
        <sz val="10"/>
        <rFont val="Calibri"/>
        <family val="2"/>
      </rPr>
      <t xml:space="preserve"> concentration in mg/L</t>
    </r>
  </si>
  <si>
    <t>Total Phosphorus</t>
  </si>
  <si>
    <r>
      <t xml:space="preserve">Average </t>
    </r>
    <r>
      <rPr>
        <b/>
        <sz val="10"/>
        <rFont val="Calibri"/>
        <family val="2"/>
      </rPr>
      <t>Grease</t>
    </r>
    <r>
      <rPr>
        <sz val="10"/>
        <rFont val="Calibri"/>
        <family val="2"/>
      </rPr>
      <t xml:space="preserve"> concentration in mg/L</t>
    </r>
  </si>
  <si>
    <t>Grease</t>
  </si>
  <si>
    <t>SUB TOTAL - Trade Waste Charges (within authorised limits)</t>
  </si>
  <si>
    <t>SUB TOTAL - Non-Compliance Levy (cost reflective)</t>
  </si>
  <si>
    <t>Gross Trade Waste Costs</t>
  </si>
  <si>
    <t>Analysis and Monitoring cost per event (exc GST)</t>
  </si>
  <si>
    <t>Number of events</t>
  </si>
  <si>
    <t>Sampling and Monitoring Charges (inc GST)</t>
  </si>
  <si>
    <t>(B)</t>
  </si>
  <si>
    <t>GST Component</t>
  </si>
  <si>
    <t>QUARTERLY TOTAL ESTIMATE (inc GST)</t>
  </si>
  <si>
    <t>(A+B)</t>
  </si>
  <si>
    <t>If site is compliant with authorisation for the current and previous billing period</t>
  </si>
  <si>
    <t>Compliant 5% discount</t>
  </si>
  <si>
    <t>a 5% discount applies to trade waste costs</t>
  </si>
  <si>
    <t>Disclaimer:</t>
  </si>
  <si>
    <t>The SA Water Trade Waste Charges - Estimating Calculator should be used as a guide only. Ultimately the responsibility for the volume and quality and consequent charges of Trade Waste that is discharged to the SA Water sewer network lies with the discharging business. Actual Trade Waste charges will be calculated in accordance with the SA Water Restricted Wastewater Acceptance Framework and as specified within individual Trade Waste Authorisations.</t>
  </si>
  <si>
    <t>The calculator has been built based on the fundamental principles applied within SA Water for calculating Trade Waste Charges. Every effort has been made to verify and correctly source information used to avoid errors or oversights but it is recognised that some may exist.</t>
  </si>
  <si>
    <t>The South Australian Water Corporation and its officers and employees and the Government of South Australia and its agents, instrumentalities, officers and employees:</t>
  </si>
  <si>
    <t>make no representations, express or implied, as to the accuracy of the information and data contained in the SA Water Trade Waste Charges - Estimating Calculator; make no representations, express or implied, as to the accuracy or usefulness of  the calculator; make no representations that the calculator will operate error free; accept no liability however arising for any loss resulting from the use of the calculator and any information and data contained in, or derived by means of, the calculator or from any reliance placed on the calculator or on any such information and data; make no representations, either expressed or implied, as to the suitability of the calculator and of any such information and data for any particular purpose and; accept no liability for any interference with or damage to a user's computer, software or data occurring in connection with the use of the calculator.</t>
  </si>
  <si>
    <t>SA Water Trade Waste Charges Summary</t>
  </si>
  <si>
    <t>**To update calculator, enter current values into all green cells.</t>
  </si>
  <si>
    <t>Charges Matrix</t>
  </si>
  <si>
    <t>TRADE WASTE</t>
  </si>
  <si>
    <t>Parameter</t>
  </si>
  <si>
    <t>per kg/kL</t>
  </si>
  <si>
    <t>$/unit</t>
  </si>
  <si>
    <t>Cost Reflective Charge</t>
  </si>
  <si>
    <t>Volume</t>
  </si>
  <si>
    <t>kL</t>
  </si>
  <si>
    <t>BOD &lt;= 1000</t>
  </si>
  <si>
    <t>kg</t>
  </si>
  <si>
    <t>BOD &gt; 1000</t>
  </si>
  <si>
    <t>SS</t>
  </si>
  <si>
    <t>TKN</t>
  </si>
  <si>
    <t>TP</t>
  </si>
  <si>
    <t>TDS</t>
  </si>
  <si>
    <t>Audit (inc GST)</t>
  </si>
  <si>
    <t>Administration Fee (inc GST)</t>
  </si>
  <si>
    <t>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</si>
</sst>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44" formatCode="_-&quot;$&quot;* #,##0.00_-;\-&quot;$&quot;* #,##0.00_-;_-&quot;$&quot;* &quot;-&quot;??_-;_-@_-"/>
    <numFmt numFmtId="164" formatCode="_-&quot;$&quot;* #,##0.000_-;\-&quot;$&quot;* #,##0.000_-;_-&quot;$&quot;* &quot;-&quot;??_-;_-@_-"/>
  </numFmts>
  <fonts count="27" x14ac:knownFonts="1">
    <font>
      <sz val="10"/>
      <name val="Arial"/>
    </font>
    <font>
      <sz val="10"/>
      <name val="MS Sans Serif"/>
      <family val="2"/>
    </font>
    <font>
      <sz val="10"/>
      <name val="Arial"/>
      <family val="2"/>
    </font>
    <font>
      <sz val="10"/>
      <name val="Arial"/>
      <family val="2"/>
    </font>
    <font>
      <sz val="10"/>
      <name val="Calibri"/>
      <family val="2"/>
    </font>
    <font>
      <b/>
      <sz val="10"/>
      <name val="Calibri"/>
      <family val="2"/>
    </font>
    <font>
      <b/>
      <sz val="9"/>
      <color indexed="81"/>
      <name val="Tahoma"/>
      <family val="2"/>
    </font>
    <font>
      <sz val="9"/>
      <color indexed="81"/>
      <name val="Tahoma"/>
      <family val="2"/>
    </font>
    <font>
      <u/>
      <sz val="10"/>
      <color theme="10"/>
      <name val="Arial"/>
      <family val="2"/>
    </font>
    <font>
      <sz val="11"/>
      <color rgb="FF3F3F76"/>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i/>
      <sz val="10"/>
      <name val="Calibri"/>
      <family val="2"/>
      <scheme val="minor"/>
    </font>
    <font>
      <b/>
      <sz val="13.5"/>
      <name val="Calibri"/>
      <family val="2"/>
      <scheme val="minor"/>
    </font>
    <font>
      <b/>
      <sz val="12"/>
      <name val="Calibri"/>
      <family val="2"/>
      <scheme val="minor"/>
    </font>
    <font>
      <b/>
      <sz val="9"/>
      <name val="Calibri"/>
      <family val="2"/>
      <scheme val="minor"/>
    </font>
    <font>
      <sz val="22"/>
      <name val="Calibri"/>
      <family val="2"/>
      <scheme val="minor"/>
    </font>
    <font>
      <b/>
      <i/>
      <sz val="9"/>
      <name val="Calibri"/>
      <family val="2"/>
      <scheme val="minor"/>
    </font>
    <font>
      <b/>
      <u/>
      <sz val="10"/>
      <name val="Calibri"/>
      <family val="2"/>
      <scheme val="minor"/>
    </font>
    <font>
      <b/>
      <i/>
      <sz val="10"/>
      <name val="Calibri"/>
      <family val="2"/>
      <scheme val="minor"/>
    </font>
    <font>
      <b/>
      <sz val="13"/>
      <name val="Calibri"/>
      <family val="2"/>
      <scheme val="minor"/>
    </font>
    <font>
      <sz val="10"/>
      <color rgb="FFFF0000"/>
      <name val="Calibri"/>
      <family val="2"/>
      <scheme val="minor"/>
    </font>
    <font>
      <b/>
      <i/>
      <sz val="11"/>
      <color rgb="FFFF0000"/>
      <name val="Calibri"/>
      <family val="2"/>
      <scheme val="minor"/>
    </font>
    <font>
      <b/>
      <sz val="10"/>
      <color rgb="FFFF0000"/>
      <name val="Calibri"/>
      <family val="2"/>
      <scheme val="minor"/>
    </font>
    <font>
      <b/>
      <sz val="11"/>
      <color rgb="FF00B050"/>
      <name val="Calibri"/>
      <family val="2"/>
      <scheme val="minor"/>
    </font>
  </fonts>
  <fills count="7">
    <fill>
      <patternFill patternType="none"/>
    </fill>
    <fill>
      <patternFill patternType="gray125"/>
    </fill>
    <fill>
      <patternFill patternType="solid">
        <fgColor rgb="FFFFCC99"/>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17">
    <border>
      <left/>
      <right/>
      <top/>
      <bottom/>
      <diagonal/>
    </border>
    <border>
      <left style="medium">
        <color indexed="48"/>
      </left>
      <right/>
      <top style="medium">
        <color indexed="48"/>
      </top>
      <bottom style="medium">
        <color indexed="4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dashDot">
        <color indexed="64"/>
      </left>
      <right style="thin">
        <color indexed="64"/>
      </right>
      <top/>
      <bottom/>
      <diagonal/>
    </border>
    <border>
      <left style="medium">
        <color indexed="48"/>
      </left>
      <right style="medium">
        <color indexed="48"/>
      </right>
      <top style="medium">
        <color indexed="48"/>
      </top>
      <bottom style="medium">
        <color indexed="48"/>
      </bottom>
      <diagonal/>
    </border>
    <border>
      <left/>
      <right/>
      <top style="dotted">
        <color indexed="64"/>
      </top>
      <bottom/>
      <diagonal/>
    </border>
    <border>
      <left style="medium">
        <color indexed="48"/>
      </left>
      <right style="medium">
        <color indexed="48"/>
      </right>
      <top style="medium">
        <color indexed="48"/>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rgb="FFFF0000"/>
      </left>
      <right style="medium">
        <color rgb="FFFF0000"/>
      </right>
      <top style="medium">
        <color rgb="FFFF0000"/>
      </top>
      <bottom style="medium">
        <color rgb="FFFF0000"/>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s>
  <cellStyleXfs count="7">
    <xf numFmtId="0" fontId="0" fillId="0" borderId="0"/>
    <xf numFmtId="44" fontId="2" fillId="0" borderId="0" applyFont="0" applyFill="0" applyBorder="0" applyAlignment="0" applyProtection="0"/>
    <xf numFmtId="8" fontId="1" fillId="0" borderId="0" applyFont="0" applyFill="0" applyBorder="0" applyAlignment="0" applyProtection="0"/>
    <xf numFmtId="0" fontId="8" fillId="0" borderId="0" applyNumberFormat="0" applyFill="0" applyBorder="0" applyAlignment="0" applyProtection="0"/>
    <xf numFmtId="0" fontId="9" fillId="2" borderId="14" applyNumberFormat="0" applyAlignment="0" applyProtection="0"/>
    <xf numFmtId="0" fontId="3" fillId="0" borderId="0"/>
    <xf numFmtId="0" fontId="1" fillId="0" borderId="0"/>
  </cellStyleXfs>
  <cellXfs count="103">
    <xf numFmtId="0" fontId="0" fillId="0" borderId="0" xfId="0"/>
    <xf numFmtId="0" fontId="10" fillId="3" borderId="1" xfId="6" applyFont="1" applyFill="1" applyBorder="1" applyAlignment="1" applyProtection="1">
      <alignment horizontal="center" vertical="center"/>
      <protection locked="0"/>
    </xf>
    <xf numFmtId="0" fontId="10" fillId="4" borderId="15" xfId="6" applyFont="1" applyFill="1" applyBorder="1" applyAlignment="1" applyProtection="1">
      <alignment horizontal="center" vertical="center"/>
      <protection locked="0"/>
    </xf>
    <xf numFmtId="0" fontId="11" fillId="0" borderId="0" xfId="6" applyFont="1"/>
    <xf numFmtId="0" fontId="12" fillId="0" borderId="0" xfId="6" applyFont="1" applyAlignment="1">
      <alignment horizontal="left"/>
    </xf>
    <xf numFmtId="0" fontId="12" fillId="0" borderId="0" xfId="6" applyFont="1"/>
    <xf numFmtId="0" fontId="14" fillId="0" borderId="0" xfId="6" applyFont="1"/>
    <xf numFmtId="0" fontId="11" fillId="0" borderId="0" xfId="0" applyFont="1"/>
    <xf numFmtId="0" fontId="11" fillId="0" borderId="2" xfId="6" applyFont="1" applyBorder="1"/>
    <xf numFmtId="0" fontId="11" fillId="0" borderId="3" xfId="6" applyFont="1" applyBorder="1"/>
    <xf numFmtId="0" fontId="11" fillId="0" borderId="4" xfId="6" applyFont="1" applyBorder="1"/>
    <xf numFmtId="0" fontId="11" fillId="0" borderId="5" xfId="6" applyFont="1" applyBorder="1"/>
    <xf numFmtId="0" fontId="10" fillId="0" borderId="0" xfId="6" applyFont="1" applyAlignment="1">
      <alignment horizontal="center" vertical="center"/>
    </xf>
    <xf numFmtId="0" fontId="11" fillId="0" borderId="0" xfId="6" applyFont="1" applyAlignment="1">
      <alignment horizontal="left" vertical="center"/>
    </xf>
    <xf numFmtId="0" fontId="11" fillId="0" borderId="0" xfId="6" applyFont="1" applyAlignment="1">
      <alignment vertical="center"/>
    </xf>
    <xf numFmtId="0" fontId="11" fillId="0" borderId="0" xfId="6" applyFont="1" applyAlignment="1">
      <alignment horizontal="center" vertical="center"/>
    </xf>
    <xf numFmtId="8" fontId="11" fillId="0" borderId="0" xfId="0" applyNumberFormat="1" applyFont="1"/>
    <xf numFmtId="8" fontId="10" fillId="0" borderId="0" xfId="2" applyFont="1" applyBorder="1" applyAlignment="1" applyProtection="1">
      <alignment horizontal="right"/>
    </xf>
    <xf numFmtId="0" fontId="10" fillId="0" borderId="0" xfId="6" applyFont="1" applyAlignment="1">
      <alignment horizontal="left" indent="1"/>
    </xf>
    <xf numFmtId="0" fontId="16" fillId="0" borderId="0" xfId="6" applyFont="1" applyAlignment="1">
      <alignment horizontal="left"/>
    </xf>
    <xf numFmtId="0" fontId="11" fillId="0" borderId="0" xfId="0" applyFont="1" applyAlignment="1">
      <alignment horizontal="center"/>
    </xf>
    <xf numFmtId="0" fontId="10" fillId="0" borderId="0" xfId="0" applyFont="1"/>
    <xf numFmtId="0" fontId="17" fillId="0" borderId="0" xfId="0" quotePrefix="1" applyFont="1" applyAlignment="1">
      <alignment horizontal="center"/>
    </xf>
    <xf numFmtId="3" fontId="17" fillId="0" borderId="0" xfId="0" quotePrefix="1" applyNumberFormat="1" applyFont="1" applyAlignment="1">
      <alignment horizontal="center"/>
    </xf>
    <xf numFmtId="6" fontId="10" fillId="0" borderId="0" xfId="0" applyNumberFormat="1" applyFont="1" applyAlignment="1">
      <alignment horizontal="right"/>
    </xf>
    <xf numFmtId="0" fontId="11" fillId="0" borderId="0" xfId="0" quotePrefix="1" applyFont="1"/>
    <xf numFmtId="0" fontId="11" fillId="0" borderId="6" xfId="6" applyFont="1" applyBorder="1"/>
    <xf numFmtId="0" fontId="11" fillId="0" borderId="7" xfId="0" applyFont="1" applyBorder="1"/>
    <xf numFmtId="0" fontId="17" fillId="0" borderId="7" xfId="0" applyFont="1" applyBorder="1" applyAlignment="1">
      <alignment horizontal="center"/>
    </xf>
    <xf numFmtId="0" fontId="11" fillId="0" borderId="7" xfId="6" applyFont="1" applyBorder="1"/>
    <xf numFmtId="0" fontId="17" fillId="0" borderId="7" xfId="0" quotePrefix="1" applyFont="1" applyBorder="1" applyAlignment="1">
      <alignment horizontal="center"/>
    </xf>
    <xf numFmtId="0" fontId="15" fillId="0" borderId="7" xfId="6" applyFont="1" applyBorder="1" applyAlignment="1">
      <alignment horizontal="right"/>
    </xf>
    <xf numFmtId="6" fontId="10" fillId="0" borderId="0" xfId="0" applyNumberFormat="1" applyFont="1"/>
    <xf numFmtId="0" fontId="10" fillId="0" borderId="0" xfId="6" applyFont="1"/>
    <xf numFmtId="0" fontId="11" fillId="0" borderId="8" xfId="6" applyFont="1" applyBorder="1"/>
    <xf numFmtId="0" fontId="18" fillId="0" borderId="0" xfId="6" applyFont="1" applyAlignment="1">
      <alignment vertical="top"/>
    </xf>
    <xf numFmtId="0" fontId="10" fillId="0" borderId="4" xfId="6" applyFont="1" applyBorder="1" applyAlignment="1">
      <alignment horizontal="center"/>
    </xf>
    <xf numFmtId="0" fontId="10" fillId="0" borderId="9" xfId="6" applyFont="1" applyBorder="1" applyAlignment="1">
      <alignment horizontal="center"/>
    </xf>
    <xf numFmtId="0" fontId="11" fillId="0" borderId="5" xfId="6" applyFont="1" applyBorder="1" applyAlignment="1">
      <alignment horizontal="left"/>
    </xf>
    <xf numFmtId="0" fontId="19" fillId="0" borderId="0" xfId="6" applyFont="1" applyAlignment="1">
      <alignment horizontal="left" vertical="center"/>
    </xf>
    <xf numFmtId="44" fontId="10" fillId="3" borderId="10" xfId="1" applyFont="1" applyFill="1" applyBorder="1" applyAlignment="1" applyProtection="1">
      <alignment horizontal="center" vertical="center"/>
      <protection locked="0"/>
    </xf>
    <xf numFmtId="0" fontId="14" fillId="0" borderId="11" xfId="6" applyFont="1" applyBorder="1" applyAlignment="1">
      <alignment horizontal="left" vertical="center"/>
    </xf>
    <xf numFmtId="0" fontId="11" fillId="0" borderId="11" xfId="6" applyFont="1" applyBorder="1" applyAlignment="1">
      <alignment vertical="center"/>
    </xf>
    <xf numFmtId="0" fontId="14" fillId="0" borderId="11" xfId="6" applyFont="1" applyBorder="1" applyAlignment="1">
      <alignment vertical="center"/>
    </xf>
    <xf numFmtId="1" fontId="10" fillId="3" borderId="10" xfId="1" applyNumberFormat="1" applyFont="1" applyFill="1" applyBorder="1" applyAlignment="1" applyProtection="1">
      <alignment horizontal="center" vertical="center"/>
      <protection locked="0"/>
    </xf>
    <xf numFmtId="0" fontId="15" fillId="0" borderId="5" xfId="0" applyFont="1" applyBorder="1" applyAlignment="1">
      <alignment horizontal="center"/>
    </xf>
    <xf numFmtId="0" fontId="15" fillId="0" borderId="4" xfId="0" applyFont="1" applyBorder="1" applyAlignment="1">
      <alignment horizontal="center"/>
    </xf>
    <xf numFmtId="0" fontId="10" fillId="3" borderId="10" xfId="6" applyFont="1" applyFill="1" applyBorder="1" applyAlignment="1" applyProtection="1">
      <alignment horizontal="center" vertical="center"/>
      <protection locked="0"/>
    </xf>
    <xf numFmtId="0" fontId="10" fillId="3" borderId="12" xfId="6" applyFont="1" applyFill="1" applyBorder="1" applyAlignment="1" applyProtection="1">
      <alignment horizontal="center" vertical="center"/>
      <protection locked="0"/>
    </xf>
    <xf numFmtId="0" fontId="20" fillId="5" borderId="16" xfId="6" applyFont="1" applyFill="1" applyBorder="1" applyAlignment="1">
      <alignment horizontal="center" vertical="center"/>
    </xf>
    <xf numFmtId="0" fontId="16" fillId="0" borderId="0" xfId="6" applyFont="1"/>
    <xf numFmtId="0" fontId="16" fillId="0" borderId="5" xfId="6" applyFont="1" applyBorder="1" applyAlignment="1">
      <alignment horizontal="center"/>
    </xf>
    <xf numFmtId="0" fontId="16" fillId="0" borderId="13" xfId="6" applyFont="1" applyBorder="1" applyAlignment="1">
      <alignment horizontal="center"/>
    </xf>
    <xf numFmtId="0" fontId="10" fillId="0" borderId="0" xfId="6" applyFont="1" applyAlignment="1">
      <alignment horizontal="center"/>
    </xf>
    <xf numFmtId="0" fontId="11" fillId="0" borderId="8" xfId="6" applyFont="1" applyBorder="1" applyAlignment="1">
      <alignment horizontal="center"/>
    </xf>
    <xf numFmtId="0" fontId="11" fillId="0" borderId="0" xfId="6" applyFont="1" applyAlignment="1">
      <alignment horizontal="center"/>
    </xf>
    <xf numFmtId="44" fontId="10" fillId="0" borderId="0" xfId="2" applyNumberFormat="1" applyFont="1" applyBorder="1" applyAlignment="1" applyProtection="1">
      <alignment horizontal="right"/>
    </xf>
    <xf numFmtId="44" fontId="10" fillId="0" borderId="0" xfId="6" applyNumberFormat="1" applyFont="1" applyAlignment="1">
      <alignment horizontal="right"/>
    </xf>
    <xf numFmtId="44" fontId="16" fillId="0" borderId="0" xfId="2" applyNumberFormat="1" applyFont="1" applyBorder="1" applyAlignment="1" applyProtection="1">
      <alignment horizontal="right"/>
    </xf>
    <xf numFmtId="44" fontId="11" fillId="0" borderId="0" xfId="6" applyNumberFormat="1" applyFont="1" applyAlignment="1">
      <alignment horizontal="right"/>
    </xf>
    <xf numFmtId="44" fontId="10" fillId="0" borderId="0" xfId="0" applyNumberFormat="1" applyFont="1" applyAlignment="1">
      <alignment horizontal="right"/>
    </xf>
    <xf numFmtId="44" fontId="10" fillId="0" borderId="0" xfId="2" applyNumberFormat="1" applyFont="1" applyBorder="1" applyAlignment="1" applyProtection="1">
      <alignment horizontal="right" vertical="center"/>
    </xf>
    <xf numFmtId="44" fontId="21" fillId="0" borderId="11" xfId="2" applyNumberFormat="1" applyFont="1" applyBorder="1" applyAlignment="1" applyProtection="1">
      <alignment horizontal="right" vertical="center"/>
    </xf>
    <xf numFmtId="44" fontId="21" fillId="0" borderId="0" xfId="2" applyNumberFormat="1" applyFont="1" applyBorder="1" applyAlignment="1" applyProtection="1">
      <alignment horizontal="right" vertical="center"/>
    </xf>
    <xf numFmtId="44" fontId="11" fillId="0" borderId="0" xfId="6" applyNumberFormat="1" applyFont="1"/>
    <xf numFmtId="0" fontId="15" fillId="0" borderId="7" xfId="6" applyFont="1" applyBorder="1" applyAlignment="1">
      <alignment horizontal="left"/>
    </xf>
    <xf numFmtId="44" fontId="22" fillId="0" borderId="7" xfId="2" applyNumberFormat="1" applyFont="1" applyBorder="1" applyAlignment="1" applyProtection="1">
      <alignment horizontal="right"/>
    </xf>
    <xf numFmtId="0" fontId="16" fillId="0" borderId="0" xfId="6" applyFont="1" applyAlignment="1">
      <alignment horizontal="center"/>
    </xf>
    <xf numFmtId="0" fontId="15" fillId="0" borderId="7" xfId="6" applyFont="1" applyBorder="1" applyAlignment="1">
      <alignment horizontal="center"/>
    </xf>
    <xf numFmtId="44" fontId="17" fillId="0" borderId="0" xfId="0" quotePrefix="1" applyNumberFormat="1" applyFont="1" applyAlignment="1">
      <alignment horizontal="center"/>
    </xf>
    <xf numFmtId="0" fontId="13" fillId="0" borderId="0" xfId="6" applyFont="1" applyAlignment="1">
      <alignment horizontal="left" indent="1"/>
    </xf>
    <xf numFmtId="0" fontId="12" fillId="0" borderId="0" xfId="0" applyFont="1"/>
    <xf numFmtId="0" fontId="13" fillId="0" borderId="0" xfId="6" applyFont="1" applyAlignment="1">
      <alignment horizontal="center"/>
    </xf>
    <xf numFmtId="44" fontId="13" fillId="0" borderId="0" xfId="2" applyNumberFormat="1" applyFont="1" applyBorder="1" applyAlignment="1" applyProtection="1">
      <alignment horizontal="right"/>
    </xf>
    <xf numFmtId="0" fontId="23" fillId="0" borderId="0" xfId="0" applyFont="1"/>
    <xf numFmtId="0" fontId="24" fillId="0" borderId="0" xfId="0" applyFont="1"/>
    <xf numFmtId="0" fontId="9" fillId="6" borderId="14" xfId="4" applyFill="1" applyAlignment="1" applyProtection="1">
      <alignment horizontal="center"/>
    </xf>
    <xf numFmtId="164" fontId="9" fillId="6" borderId="14" xfId="4" applyNumberFormat="1" applyFill="1" applyProtection="1"/>
    <xf numFmtId="44" fontId="9" fillId="6" borderId="14" xfId="4" applyNumberFormat="1" applyFill="1" applyProtection="1"/>
    <xf numFmtId="0" fontId="17" fillId="0" borderId="0" xfId="6" applyFont="1" applyAlignment="1">
      <alignment horizontal="left" indent="1"/>
    </xf>
    <xf numFmtId="0" fontId="12" fillId="0" borderId="0" xfId="6" applyFont="1" applyAlignment="1">
      <alignment horizontal="left" vertical="top"/>
    </xf>
    <xf numFmtId="0" fontId="8" fillId="0" borderId="0" xfId="3" applyAlignment="1" applyProtection="1">
      <alignment horizontal="left" vertical="top"/>
    </xf>
    <xf numFmtId="0" fontId="25" fillId="0" borderId="0" xfId="6" applyFont="1"/>
    <xf numFmtId="0" fontId="15" fillId="0" borderId="0" xfId="6" applyFont="1" applyAlignment="1">
      <alignment horizontal="center"/>
    </xf>
    <xf numFmtId="0" fontId="15" fillId="0" borderId="0" xfId="0" applyFont="1" applyAlignment="1">
      <alignment horizontal="center"/>
    </xf>
    <xf numFmtId="0" fontId="4" fillId="0" borderId="0" xfId="6" applyFont="1"/>
    <xf numFmtId="0" fontId="14" fillId="0" borderId="0" xfId="6" applyFont="1" applyAlignment="1">
      <alignment horizontal="left" vertical="center"/>
    </xf>
    <xf numFmtId="0" fontId="25" fillId="0" borderId="0" xfId="0" applyFont="1" applyAlignment="1">
      <alignment horizontal="center"/>
    </xf>
    <xf numFmtId="0" fontId="14" fillId="0" borderId="0" xfId="6" applyFont="1" applyAlignment="1">
      <alignment vertical="center"/>
    </xf>
    <xf numFmtId="0" fontId="15" fillId="0" borderId="0" xfId="6" applyFont="1" applyAlignment="1">
      <alignment horizontal="left"/>
    </xf>
    <xf numFmtId="0" fontId="15" fillId="0" borderId="0" xfId="6" applyFont="1" applyAlignment="1">
      <alignment horizontal="right"/>
    </xf>
    <xf numFmtId="44" fontId="22" fillId="0" borderId="0" xfId="2" applyNumberFormat="1" applyFont="1" applyBorder="1" applyAlignment="1" applyProtection="1">
      <alignment horizontal="right"/>
    </xf>
    <xf numFmtId="3" fontId="26" fillId="0" borderId="0" xfId="0" quotePrefix="1" applyNumberFormat="1" applyFont="1" applyAlignment="1">
      <alignment horizontal="left"/>
    </xf>
    <xf numFmtId="0" fontId="8" fillId="0" borderId="0" xfId="3"/>
    <xf numFmtId="0" fontId="11" fillId="0" borderId="0" xfId="0" applyFont="1"/>
    <xf numFmtId="0" fontId="12" fillId="0" borderId="0" xfId="6" applyFont="1" applyAlignment="1">
      <alignment horizontal="left" vertical="top"/>
    </xf>
    <xf numFmtId="0" fontId="18" fillId="0" borderId="0" xfId="6" applyFont="1" applyAlignment="1">
      <alignment horizontal="left" vertical="top"/>
    </xf>
    <xf numFmtId="0" fontId="14" fillId="0" borderId="0" xfId="6" applyFont="1" applyAlignment="1">
      <alignment horizontal="left" vertical="top" wrapText="1"/>
    </xf>
    <xf numFmtId="0" fontId="15" fillId="0" borderId="8" xfId="6" applyFont="1" applyBorder="1" applyAlignment="1">
      <alignment horizontal="center" vertical="center"/>
    </xf>
    <xf numFmtId="0" fontId="15" fillId="0" borderId="8" xfId="0" applyFont="1" applyBorder="1" applyAlignment="1">
      <alignment horizontal="center" vertical="center"/>
    </xf>
    <xf numFmtId="0" fontId="0" fillId="0" borderId="0" xfId="0"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cellXfs>
  <cellStyles count="7">
    <cellStyle name="Currency" xfId="1" builtinId="4"/>
    <cellStyle name="Currency_Cat 3 sites" xfId="2" xr:uid="{00000000-0005-0000-0000-000001000000}"/>
    <cellStyle name="Hyperlink" xfId="3" builtinId="8"/>
    <cellStyle name="Input" xfId="4" builtinId="20"/>
    <cellStyle name="Normal" xfId="0" builtinId="0"/>
    <cellStyle name="Normal 3 2" xfId="5" xr:uid="{00000000-0005-0000-0000-000005000000}"/>
    <cellStyle name="Normal_Cat 3 sites"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awater.com.au/business/trade-waste/fees-and-charges" TargetMode="External"/><Relationship Id="rId1" Type="http://schemas.openxmlformats.org/officeDocument/2006/relationships/hyperlink" Target="https://www.sawater.com.au/business/trade-waste/cleaner-production-and-trade-waste" TargetMode="External"/><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129540</xdr:colOff>
      <xdr:row>16</xdr:row>
      <xdr:rowOff>0</xdr:rowOff>
    </xdr:from>
    <xdr:to>
      <xdr:col>4</xdr:col>
      <xdr:colOff>140978</xdr:colOff>
      <xdr:row>16</xdr:row>
      <xdr:rowOff>0</xdr:rowOff>
    </xdr:to>
    <xdr:sp macro="" textlink="">
      <xdr:nvSpPr>
        <xdr:cNvPr id="4" name="TextBox 3">
          <a:hlinkClick xmlns:r="http://schemas.openxmlformats.org/officeDocument/2006/relationships" r:id="rId1"/>
          <a:extLst>
            <a:ext uri="{FF2B5EF4-FFF2-40B4-BE49-F238E27FC236}">
              <a16:creationId xmlns:a16="http://schemas.microsoft.com/office/drawing/2014/main" id="{FAD2C5A1-9624-9A4E-A1F5-561ECE216236}"/>
            </a:ext>
          </a:extLst>
        </xdr:cNvPr>
        <xdr:cNvSpPr txBox="1"/>
      </xdr:nvSpPr>
      <xdr:spPr>
        <a:xfrm>
          <a:off x="133350" y="4067175"/>
          <a:ext cx="18288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u="sng">
              <a:solidFill>
                <a:schemeClr val="tx2"/>
              </a:solidFill>
            </a:rPr>
            <a:t>Cleaner</a:t>
          </a:r>
          <a:r>
            <a:rPr lang="en-AU" sz="1100" u="sng" baseline="0">
              <a:solidFill>
                <a:schemeClr val="tx2"/>
              </a:solidFill>
            </a:rPr>
            <a:t> Production Program</a:t>
          </a:r>
          <a:endParaRPr lang="en-AU" sz="1100" u="sng">
            <a:solidFill>
              <a:schemeClr val="tx2"/>
            </a:solidFill>
          </a:endParaRPr>
        </a:p>
      </xdr:txBody>
    </xdr:sp>
    <xdr:clientData/>
  </xdr:twoCellAnchor>
  <xdr:twoCellAnchor>
    <xdr:from>
      <xdr:col>0</xdr:col>
      <xdr:colOff>139065</xdr:colOff>
      <xdr:row>16</xdr:row>
      <xdr:rowOff>0</xdr:rowOff>
    </xdr:from>
    <xdr:to>
      <xdr:col>5</xdr:col>
      <xdr:colOff>400096</xdr:colOff>
      <xdr:row>16</xdr:row>
      <xdr:rowOff>0</xdr:rowOff>
    </xdr:to>
    <xdr:sp macro="" textlink="">
      <xdr:nvSpPr>
        <xdr:cNvPr id="6" name="TextBox 5">
          <a:hlinkClick xmlns:r="http://schemas.openxmlformats.org/officeDocument/2006/relationships" r:id="rId2"/>
          <a:extLst>
            <a:ext uri="{FF2B5EF4-FFF2-40B4-BE49-F238E27FC236}">
              <a16:creationId xmlns:a16="http://schemas.microsoft.com/office/drawing/2014/main" id="{8829CAC9-B72F-959E-C8B6-8D51A6B3C800}"/>
            </a:ext>
          </a:extLst>
        </xdr:cNvPr>
        <xdr:cNvSpPr txBox="1"/>
      </xdr:nvSpPr>
      <xdr:spPr>
        <a:xfrm>
          <a:off x="123825" y="4038599"/>
          <a:ext cx="2705100" cy="27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u="sng">
              <a:solidFill>
                <a:schemeClr val="tx2"/>
              </a:solidFill>
            </a:rPr>
            <a:t>Trade Waste Fees and Charges</a:t>
          </a:r>
          <a:endParaRPr lang="en-AU" sz="1100" u="sng" baseline="0">
            <a:solidFill>
              <a:schemeClr val="tx2"/>
            </a:solidFill>
          </a:endParaRPr>
        </a:p>
      </xdr:txBody>
    </xdr:sp>
    <xdr:clientData/>
  </xdr:twoCellAnchor>
  <xdr:twoCellAnchor editAs="oneCell">
    <xdr:from>
      <xdr:col>2</xdr:col>
      <xdr:colOff>182880</xdr:colOff>
      <xdr:row>57</xdr:row>
      <xdr:rowOff>106680</xdr:rowOff>
    </xdr:from>
    <xdr:to>
      <xdr:col>13</xdr:col>
      <xdr:colOff>0</xdr:colOff>
      <xdr:row>64</xdr:row>
      <xdr:rowOff>150495</xdr:rowOff>
    </xdr:to>
    <xdr:pic>
      <xdr:nvPicPr>
        <xdr:cNvPr id="1763" name="Picture 4">
          <a:extLst>
            <a:ext uri="{FF2B5EF4-FFF2-40B4-BE49-F238E27FC236}">
              <a16:creationId xmlns:a16="http://schemas.microsoft.com/office/drawing/2014/main" id="{CD1C89D4-959F-F543-E67B-318F4D4CE92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4360" y="11231880"/>
          <a:ext cx="881634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17</xdr:col>
      <xdr:colOff>0</xdr:colOff>
      <xdr:row>9</xdr:row>
      <xdr:rowOff>133349</xdr:rowOff>
    </xdr:to>
    <xdr:pic>
      <xdr:nvPicPr>
        <xdr:cNvPr id="3" name="Picture 2">
          <a:extLst>
            <a:ext uri="{FF2B5EF4-FFF2-40B4-BE49-F238E27FC236}">
              <a16:creationId xmlns:a16="http://schemas.microsoft.com/office/drawing/2014/main" id="{60661FBC-7229-266E-0CF6-1D4D2E5CCE4B}"/>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0312" b="10839"/>
        <a:stretch/>
      </xdr:blipFill>
      <xdr:spPr bwMode="auto">
        <a:xfrm>
          <a:off x="0" y="0"/>
          <a:ext cx="11220450" cy="15906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100772</xdr:colOff>
      <xdr:row>2</xdr:row>
      <xdr:rowOff>104775</xdr:rowOff>
    </xdr:from>
    <xdr:to>
      <xdr:col>5</xdr:col>
      <xdr:colOff>350078</xdr:colOff>
      <xdr:row>6</xdr:row>
      <xdr:rowOff>85725</xdr:rowOff>
    </xdr:to>
    <xdr:pic>
      <xdr:nvPicPr>
        <xdr:cNvPr id="7" name="Picture 6">
          <a:extLst>
            <a:ext uri="{FF2B5EF4-FFF2-40B4-BE49-F238E27FC236}">
              <a16:creationId xmlns:a16="http://schemas.microsoft.com/office/drawing/2014/main" id="{C72EF7A0-2424-C21F-9CFF-FEF891959F6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0797" y="428625"/>
          <a:ext cx="2478156"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water.com.au/my-business/trade-waste/trade-waste-management/trade-waste-fees-and-charge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73"/>
  <sheetViews>
    <sheetView showGridLines="0" tabSelected="1" zoomScaleNormal="100" workbookViewId="0">
      <selection activeCell="H14" sqref="H14"/>
    </sheetView>
  </sheetViews>
  <sheetFormatPr defaultColWidth="0" defaultRowHeight="12.75" x14ac:dyDescent="0.2"/>
  <cols>
    <col min="1" max="2" width="3" style="3" customWidth="1"/>
    <col min="3" max="3" width="12.140625" style="3" customWidth="1"/>
    <col min="4" max="5" width="9.140625" style="3" customWidth="1"/>
    <col min="6" max="6" width="10.5703125" style="3" customWidth="1"/>
    <col min="7" max="7" width="19.85546875" style="3" customWidth="1"/>
    <col min="8" max="8" width="14.28515625" style="3" customWidth="1"/>
    <col min="9" max="9" width="2.42578125" style="3" customWidth="1"/>
    <col min="10" max="12" width="9.140625" style="3" customWidth="1"/>
    <col min="13" max="13" width="26.28515625" style="3" customWidth="1"/>
    <col min="14" max="14" width="9.7109375" style="3" customWidth="1"/>
    <col min="15" max="15" width="15.42578125" style="3" customWidth="1"/>
    <col min="16" max="16" width="2.85546875" style="3" customWidth="1"/>
    <col min="17" max="17" width="3" style="3" customWidth="1"/>
    <col min="18" max="18" width="2.85546875" style="3" hidden="1" customWidth="1"/>
    <col min="19" max="19" width="9.85546875" style="3" hidden="1" customWidth="1"/>
    <col min="20" max="22" width="0" style="3" hidden="1" customWidth="1"/>
    <col min="23" max="23" width="9.140625" style="3" hidden="1" customWidth="1"/>
    <col min="24" max="27" width="0" style="3" hidden="1" customWidth="1"/>
    <col min="28" max="28" width="13.85546875" style="3" hidden="1" customWidth="1"/>
    <col min="29" max="29" width="19.140625" style="3" hidden="1" customWidth="1"/>
    <col min="30" max="30" width="2.5703125" style="3" hidden="1" customWidth="1"/>
    <col min="31" max="31" width="0" style="3" hidden="1" customWidth="1"/>
    <col min="32" max="32" width="2.85546875" style="3" hidden="1" customWidth="1"/>
    <col min="33" max="41" width="0" style="3" hidden="1" customWidth="1"/>
    <col min="42" max="42" width="13.7109375" style="3" hidden="1" customWidth="1"/>
    <col min="43" max="43" width="19" style="3" hidden="1" customWidth="1"/>
    <col min="44" max="44" width="2.85546875" style="3" hidden="1" customWidth="1"/>
    <col min="45" max="16384" width="0" style="3" hidden="1"/>
  </cols>
  <sheetData>
    <row r="1" spans="1:16" x14ac:dyDescent="0.2">
      <c r="A1" s="93"/>
    </row>
    <row r="11" spans="1:16" ht="28.5" x14ac:dyDescent="0.2">
      <c r="B11" s="96" t="str">
        <f>"SA Water Trade Waste VLB Charges - "&amp;'TW Charges'!E4&amp;" Estimating Calculator"</f>
        <v>SA Water Trade Waste VLB Charges - 2026/27 Estimating Calculator</v>
      </c>
      <c r="C11" s="96"/>
      <c r="D11" s="96"/>
      <c r="E11" s="96"/>
      <c r="F11" s="96"/>
      <c r="G11" s="96"/>
      <c r="H11" s="96"/>
      <c r="I11" s="96"/>
      <c r="J11" s="96"/>
      <c r="K11" s="96"/>
      <c r="L11" s="96"/>
      <c r="M11" s="96"/>
      <c r="N11" s="96"/>
      <c r="O11" s="96"/>
      <c r="P11" s="96"/>
    </row>
    <row r="13" spans="1:16" ht="15" x14ac:dyDescent="0.25">
      <c r="B13" s="4" t="s">
        <v>0</v>
      </c>
      <c r="C13" s="5"/>
      <c r="D13" s="5"/>
      <c r="E13" s="5"/>
      <c r="F13" s="5"/>
      <c r="G13" s="5"/>
      <c r="H13" s="5"/>
      <c r="I13" s="5"/>
      <c r="J13" s="5"/>
      <c r="K13" s="5"/>
      <c r="L13" s="5"/>
      <c r="M13" s="5"/>
      <c r="N13" s="5"/>
      <c r="O13" s="5"/>
      <c r="P13" s="5"/>
    </row>
    <row r="14" spans="1:16" ht="15" x14ac:dyDescent="0.25">
      <c r="B14" s="5"/>
      <c r="C14" s="5"/>
      <c r="D14" s="5"/>
      <c r="E14" s="5"/>
      <c r="F14" s="5"/>
      <c r="G14" s="5"/>
      <c r="H14" s="5"/>
      <c r="I14" s="5"/>
      <c r="J14" s="5"/>
      <c r="K14" s="5"/>
      <c r="L14" s="5"/>
      <c r="M14" s="5"/>
      <c r="N14" s="5"/>
      <c r="O14" s="5"/>
      <c r="P14" s="5"/>
    </row>
    <row r="15" spans="1:16" ht="15" x14ac:dyDescent="0.2">
      <c r="B15" s="95" t="s">
        <v>1</v>
      </c>
      <c r="C15" s="95"/>
      <c r="D15" s="95"/>
      <c r="E15" s="95"/>
      <c r="F15" s="95"/>
      <c r="G15" s="95"/>
      <c r="H15" s="95"/>
      <c r="I15" s="95"/>
      <c r="J15" s="95"/>
      <c r="K15" s="95"/>
      <c r="L15" s="95"/>
      <c r="M15" s="95"/>
      <c r="N15" s="95"/>
      <c r="O15" s="95"/>
      <c r="P15" s="95"/>
    </row>
    <row r="16" spans="1:16" ht="15" x14ac:dyDescent="0.2">
      <c r="B16" s="80"/>
      <c r="C16" s="81" t="s">
        <v>2</v>
      </c>
      <c r="D16" s="80"/>
      <c r="E16" s="80"/>
      <c r="F16" s="80"/>
      <c r="G16" s="80"/>
      <c r="H16" s="80"/>
      <c r="I16" s="80"/>
      <c r="J16" s="80"/>
      <c r="K16" s="80"/>
      <c r="L16" s="80"/>
      <c r="M16" s="80"/>
      <c r="N16" s="80"/>
      <c r="O16" s="80"/>
      <c r="P16" s="80"/>
    </row>
    <row r="17" spans="2:45" x14ac:dyDescent="0.2">
      <c r="B17" s="6" t="s">
        <v>3</v>
      </c>
    </row>
    <row r="18" spans="2:45" x14ac:dyDescent="0.2">
      <c r="B18" s="97" t="str">
        <f>"Dollar amounts are calculated automatically based on "&amp;'TW Charges'!$E$4&amp;" Trade Waste Charges."</f>
        <v>Dollar amounts are calculated automatically based on 2026/27 Trade Waste Charges.</v>
      </c>
      <c r="C18" s="97"/>
      <c r="D18" s="97"/>
      <c r="E18" s="97"/>
      <c r="F18" s="97"/>
      <c r="G18" s="97"/>
      <c r="H18" s="97"/>
      <c r="I18" s="97"/>
      <c r="J18" s="97"/>
      <c r="K18" s="97"/>
      <c r="L18" s="97"/>
      <c r="M18" s="97"/>
      <c r="N18" s="97"/>
      <c r="O18" s="97"/>
      <c r="P18" s="97"/>
    </row>
    <row r="19" spans="2:45" x14ac:dyDescent="0.2">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row>
    <row r="20" spans="2:45" ht="18" x14ac:dyDescent="0.2">
      <c r="B20" s="8"/>
      <c r="C20" s="98" t="str">
        <f>"QUARTERLY TRADE WASTE CHARGES ESTIMATE - "&amp;'TW Charges'!E4</f>
        <v>QUARTERLY TRADE WASTE CHARGES ESTIMATE - 2026/27</v>
      </c>
      <c r="D20" s="99"/>
      <c r="E20" s="99"/>
      <c r="F20" s="99"/>
      <c r="G20" s="99"/>
      <c r="H20" s="99"/>
      <c r="I20" s="99"/>
      <c r="J20" s="99"/>
      <c r="K20" s="99"/>
      <c r="L20" s="99"/>
      <c r="M20" s="99"/>
      <c r="N20" s="99"/>
      <c r="O20" s="99"/>
      <c r="P20" s="9"/>
      <c r="R20" s="7"/>
      <c r="S20" s="94"/>
      <c r="T20" s="94"/>
      <c r="U20" s="94"/>
      <c r="V20" s="94"/>
      <c r="W20" s="94"/>
      <c r="X20" s="94"/>
      <c r="Y20" s="94"/>
      <c r="Z20" s="94"/>
      <c r="AA20" s="94"/>
      <c r="AB20" s="94"/>
      <c r="AC20" s="94"/>
      <c r="AD20" s="7"/>
      <c r="AE20" s="7"/>
      <c r="AF20" s="7"/>
      <c r="AG20" s="94"/>
      <c r="AH20" s="94"/>
      <c r="AI20" s="94"/>
      <c r="AJ20" s="94"/>
      <c r="AK20" s="94"/>
      <c r="AL20" s="94"/>
      <c r="AM20" s="94"/>
      <c r="AN20" s="94"/>
      <c r="AO20" s="94"/>
      <c r="AP20" s="94"/>
      <c r="AQ20" s="94"/>
      <c r="AR20" s="7"/>
      <c r="AS20" s="7"/>
    </row>
    <row r="21" spans="2:45" x14ac:dyDescent="0.2">
      <c r="B21" s="10"/>
      <c r="J21" s="87" t="str">
        <f>IF(OR(E23="**DOUBLE**",E24="**DOUBLE**",E25="**DOUBLE**",F28="**DOUBLE**",F32="**DOUBLE**",F35="**DOUBLE**",F38="**DOUBLE**",F41="**double**"),"**COST REFLECTIVE RATES APPLIED DUE TO AT LEAST ONE CONCENTRATION BEING AT LEAST DOUBLE THE AUTHORISED LIMIT**","")</f>
        <v/>
      </c>
      <c r="P21" s="11"/>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row>
    <row r="22" spans="2:45" ht="18.75" thickBot="1" x14ac:dyDescent="0.35">
      <c r="B22" s="10"/>
      <c r="C22" s="83"/>
      <c r="D22" s="84"/>
      <c r="E22" s="84"/>
      <c r="F22" s="84"/>
      <c r="G22" s="45" t="s">
        <v>4</v>
      </c>
      <c r="H22" s="46" t="s">
        <v>5</v>
      </c>
      <c r="I22" s="84"/>
      <c r="K22" s="84"/>
      <c r="L22" s="84"/>
      <c r="M22" s="84"/>
      <c r="N22" s="84"/>
      <c r="O22" s="84"/>
      <c r="P22" s="11"/>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row>
    <row r="23" spans="2:45" ht="13.5" thickBot="1" x14ac:dyDescent="0.25">
      <c r="B23" s="10"/>
      <c r="C23" s="85" t="s">
        <v>6</v>
      </c>
      <c r="E23" s="82" t="str">
        <f>IF(OR(G23="",$H$23=""),"",IF(G23&gt;=2*$H$23,"**DOUBLE**",""))</f>
        <v/>
      </c>
      <c r="F23" s="33" t="s">
        <v>7</v>
      </c>
      <c r="G23" s="1"/>
      <c r="H23" s="2"/>
      <c r="I23" s="12"/>
      <c r="J23" s="13" t="str">
        <f>"Volume charge at $"&amp;'TW Charges'!E6&amp;"/kL"</f>
        <v>Volume charge at $0.31/kL</v>
      </c>
      <c r="K23" s="14"/>
      <c r="L23" s="14"/>
      <c r="M23" s="14"/>
      <c r="N23" s="14"/>
      <c r="O23" s="61" t="str">
        <f>IF(AND(H23="",ISNUMBER(G23),ISNUMBER(G24),ISNUMBER(G25)),"-Enter Limit-",IF(OR(G23="",G24="",G25=""),"-Enter Volumes-",IF(OR(E23="**double**",E24="**double**",E25="**double**",F28="**double**",F32="**double**",F35="**double**",F38="**double**",F41="**double**"),0,(IF(G23&gt;H23,H23,G23)+IF(G24&gt;H23,H23,G24)+IF(G25&gt;H23,H23,G25))*'TW Charges'!E6)))</f>
        <v>-Enter Volumes-</v>
      </c>
      <c r="P23" s="11"/>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row>
    <row r="24" spans="2:45" ht="13.5" thickBot="1" x14ac:dyDescent="0.25">
      <c r="B24" s="10"/>
      <c r="E24" s="82" t="str">
        <f>IF(OR(G24="",$H$23=""),"",IF(G24&gt;=2*$H$23,"**DOUBLE**",""))</f>
        <v/>
      </c>
      <c r="F24" s="33" t="s">
        <v>8</v>
      </c>
      <c r="G24" s="47"/>
      <c r="H24" s="15"/>
      <c r="I24" s="15"/>
      <c r="J24" s="41" t="str">
        <f>"Cost reflective (non compliance) volume charge at $"&amp;'TW Charges'!F6&amp;"/kL"</f>
        <v>Cost reflective (non compliance) volume charge at $0.863/kL</v>
      </c>
      <c r="K24" s="42"/>
      <c r="L24" s="42"/>
      <c r="M24" s="42"/>
      <c r="N24" s="42"/>
      <c r="O24" s="62" t="str">
        <f>IF(ISNUMBER(O23),IF(OR(E23="**double**",E24="**double**",E25="**double**",F28="**double**",F32="**double**",F35="**double**",F38="**double**",F41="**double**"),G26*'TW Charges'!F6,(IF(G23&gt;H23,G23-H23,0)+IF(G24&gt;H23,G24-H23,0)+IF(G25&gt;H23,G25-H23,0))*'TW Charges'!F6),O23)</f>
        <v>-Enter Volumes-</v>
      </c>
      <c r="P24" s="11"/>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row>
    <row r="25" spans="2:45" ht="13.5" thickBot="1" x14ac:dyDescent="0.25">
      <c r="B25" s="10"/>
      <c r="E25" s="82" t="str">
        <f>IF(OR(G25="",$H$23=""),"",IF(G25&gt;=2*$H$23,"**DOUBLE**",""))</f>
        <v/>
      </c>
      <c r="F25" s="33" t="s">
        <v>9</v>
      </c>
      <c r="G25" s="48"/>
      <c r="H25" s="15"/>
      <c r="I25" s="15"/>
      <c r="J25" s="86"/>
      <c r="K25" s="14"/>
      <c r="L25" s="14"/>
      <c r="M25" s="14"/>
      <c r="N25" s="14"/>
      <c r="O25" s="63"/>
      <c r="P25" s="11"/>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row>
    <row r="26" spans="2:45" ht="13.5" thickBot="1" x14ac:dyDescent="0.25">
      <c r="B26" s="10"/>
      <c r="F26" s="33" t="s">
        <v>10</v>
      </c>
      <c r="G26" s="49">
        <f>SUM(G23:G25)</f>
        <v>0</v>
      </c>
      <c r="H26" s="15"/>
      <c r="I26" s="15"/>
      <c r="J26" s="86"/>
      <c r="K26" s="14"/>
      <c r="L26" s="14"/>
      <c r="M26" s="14"/>
      <c r="N26" s="14"/>
      <c r="O26" s="63"/>
      <c r="P26" s="11"/>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row>
    <row r="27" spans="2:45" ht="13.5" thickBot="1" x14ac:dyDescent="0.25">
      <c r="B27" s="10"/>
      <c r="G27" s="15"/>
      <c r="H27" s="15"/>
      <c r="I27" s="15"/>
      <c r="J27" s="13"/>
      <c r="K27" s="14"/>
      <c r="L27" s="14"/>
      <c r="M27" s="14"/>
      <c r="N27" s="14"/>
      <c r="O27" s="61"/>
      <c r="P27" s="11"/>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row>
    <row r="28" spans="2:45" ht="13.5" thickBot="1" x14ac:dyDescent="0.25">
      <c r="B28" s="10"/>
      <c r="C28" s="3" t="s">
        <v>11</v>
      </c>
      <c r="F28" s="82" t="str">
        <f>IF(OR(G28="",H28=""),"",IF(G28&gt;=2*H28,"**DOUBLE**",""))</f>
        <v/>
      </c>
      <c r="G28" s="1"/>
      <c r="H28" s="2"/>
      <c r="I28" s="12"/>
      <c r="J28" s="13" t="str">
        <f>"BOD charge up to/including 1000 mg/L at $"&amp;'TW Charges'!E7&amp;"/kg"</f>
        <v>BOD charge up to/including 1000 mg/L at $0.507/kg</v>
      </c>
      <c r="K28" s="14"/>
      <c r="L28" s="14"/>
      <c r="M28" s="14"/>
      <c r="N28" s="14"/>
      <c r="O28" s="61">
        <f>IFERROR(IF(AND(H28="",ISNUMBER(G28)),"-Enter Limit-",IF(AND($G$26="Enter ALL Monthly Flows",ISNUMBER(G28),ISNUMBER(H28)),"-Enter Flow-",IF(OR(E23="**double**",E24="**double**",E25="**double**",F28="**double**",F32="**double**",F35="**double**",F38="**double**",F41="**double**"),0,IF(AND(H28&lt;=1000,G28&gt;H28),H28*$G$26/1000*'TW Charges'!E7,IF(G28&gt;1000,1000*$G$26/1000*'TW Charges'!E7,G28*$G$26/1000*'TW Charges'!E7))))),"Check Inputs")</f>
        <v>0</v>
      </c>
      <c r="P28" s="11"/>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row>
    <row r="29" spans="2:45" x14ac:dyDescent="0.2">
      <c r="B29" s="10"/>
      <c r="C29" s="79" t="s">
        <v>12</v>
      </c>
      <c r="G29" s="15"/>
      <c r="H29" s="15"/>
      <c r="I29" s="15"/>
      <c r="J29" s="13" t="str">
        <f>"BOD charge over 1000 mg/L at $"&amp;'TW Charges'!E8&amp;"/kg"</f>
        <v>BOD charge over 1000 mg/L at $0.685/kg</v>
      </c>
      <c r="K29" s="14"/>
      <c r="L29" s="14"/>
      <c r="M29" s="14"/>
      <c r="N29" s="14"/>
      <c r="O29" s="61">
        <f>IF(AND(H28="",ISNUMBER(G28)),"-Enter Limit-",IF(OR(E23="**double**",E24="**double**",E25="**double**",F28="**double**",F32="**double**",F35="**double**",F38="**double**",F41="**double**"),0,IF(OR(G28&lt;=1000,H28&lt;=1000),0,IF(AND(G28&gt;1000,G28&lt;=H28),(G28-1000)*$G$26*'TW Charges'!E8/1000,IF(AND(G28&gt;1000,G28&gt;H28),(H28-1000)*$G$26*'TW Charges'!E8/1000,0)))))</f>
        <v>0</v>
      </c>
      <c r="P29" s="11"/>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row>
    <row r="30" spans="2:45" x14ac:dyDescent="0.2">
      <c r="B30" s="10"/>
      <c r="G30" s="15"/>
      <c r="H30" s="15"/>
      <c r="I30" s="15"/>
      <c r="J30" s="41" t="str">
        <f>"Cost reflective (non compliance) BOD charge at $"&amp;'TW Charges'!F7&amp;"/kg"</f>
        <v>Cost reflective (non compliance) BOD charge at $0.685/kg</v>
      </c>
      <c r="K30" s="42"/>
      <c r="L30" s="42"/>
      <c r="M30" s="42"/>
      <c r="N30" s="42"/>
      <c r="O30" s="62">
        <f>IF(AND(H28="",ISNUMBER(G28)),"-Enter Limit-",(IF(OR(E23="**double**",E24="**double**",E25="**double**",F28="**double**",F32="**double**",F35="**double**",F38="**double**",F41="**double**"),G28*$G$26/1000*'TW Charges'!F7,IF(G28&gt;H28,(G28-H28)*$G$26/1000*'TW Charges'!F7,0))))</f>
        <v>0</v>
      </c>
      <c r="P30" s="11"/>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row>
    <row r="31" spans="2:45" ht="13.5" thickBot="1" x14ac:dyDescent="0.25">
      <c r="B31" s="10"/>
      <c r="G31" s="15"/>
      <c r="H31" s="15"/>
      <c r="I31" s="15"/>
      <c r="J31" s="13"/>
      <c r="K31" s="14"/>
      <c r="L31" s="14"/>
      <c r="M31" s="14"/>
      <c r="N31" s="14"/>
      <c r="O31" s="61"/>
      <c r="P31" s="11"/>
      <c r="R31" s="7"/>
      <c r="S31" s="16"/>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row>
    <row r="32" spans="2:45" ht="13.5" thickBot="1" x14ac:dyDescent="0.25">
      <c r="B32" s="10"/>
      <c r="C32" s="3" t="s">
        <v>13</v>
      </c>
      <c r="F32" s="82" t="str">
        <f>IF(OR(G32="",H32=""),"",IF(G32&gt;=2*H32,"**DOUBLE**",""))</f>
        <v/>
      </c>
      <c r="G32" s="1"/>
      <c r="H32" s="2"/>
      <c r="I32" s="12"/>
      <c r="J32" s="13" t="str">
        <f>"SS charge at $"&amp;'TW Charges'!E9&amp;"/kg"</f>
        <v>SS charge at $0.45/kg</v>
      </c>
      <c r="K32" s="14"/>
      <c r="L32" s="14"/>
      <c r="M32" s="14"/>
      <c r="N32" s="14"/>
      <c r="O32" s="61">
        <f>IFERROR(IF(AND(H32="",ISNUMBER(G32)),"-Enter Limit-",IF(AND($G$26="Enter ALL Monthly Flows",ISNUMBER(G32),ISNUMBER(H32)),"-Enter Flow-",IF(OR($E$23="**double**",$E$24="**double**",$E$25="**double**",$F$28="**double**",$F$32="**double**",$F$35="**double**",$F$38="**double**",$F$41="**double**"),0,IF(AND(H32&lt;=500,G32&gt;H32),H32*$G$26/1000*'TW Charges'!$E$9,IF(G32&gt;500,500*$G$26/1000*'TW Charges'!$E$9,G32*$G$26/1000*'TW Charges'!$E$9))))),"Check Inputs")</f>
        <v>0</v>
      </c>
      <c r="P32" s="11"/>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row>
    <row r="33" spans="2:45" x14ac:dyDescent="0.2">
      <c r="B33" s="10"/>
      <c r="C33" s="79" t="s">
        <v>14</v>
      </c>
      <c r="G33" s="15"/>
      <c r="H33" s="15"/>
      <c r="I33" s="15"/>
      <c r="J33" s="41" t="str">
        <f>"Cost reflective (non compliance) SS charge at $"&amp;'TW Charges'!F9&amp;"/kg"</f>
        <v>Cost reflective (non compliance) SS charge at $0.7/kg</v>
      </c>
      <c r="K33" s="42"/>
      <c r="L33" s="42"/>
      <c r="M33" s="42"/>
      <c r="N33" s="42"/>
      <c r="O33" s="62">
        <f>IF(AND(H32="",ISNUMBER(G32)),"-Enter Limit-",IF(OR($E$23="**double**",$E$24="**double**",$E$25="**double**",$F$28="**double**",$F$32="**double**",$F$35="**double**",$F$38="**double**",$F$41="**double**"),G32*$G$26/1000*'TW Charges'!$F$9,IF(G32&gt;H32,(G32-H32)*$G$26/1000*'TW Charges'!$F$9,0)))</f>
        <v>0</v>
      </c>
      <c r="P33" s="11"/>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row>
    <row r="34" spans="2:45" ht="13.5" thickBot="1" x14ac:dyDescent="0.25">
      <c r="B34" s="10"/>
      <c r="G34" s="15"/>
      <c r="H34" s="15"/>
      <c r="I34" s="15"/>
      <c r="J34"/>
      <c r="O34" s="64"/>
      <c r="P34" s="11"/>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row>
    <row r="35" spans="2:45" ht="13.5" thickBot="1" x14ac:dyDescent="0.25">
      <c r="B35" s="10"/>
      <c r="C35" s="3" t="s">
        <v>15</v>
      </c>
      <c r="F35" s="82" t="str">
        <f>IF(OR(G35="",H35=""),"",IF(G35&gt;=2*H35,"**DOUBLE**",""))</f>
        <v/>
      </c>
      <c r="G35" s="1"/>
      <c r="H35" s="2"/>
      <c r="I35" s="12"/>
      <c r="J35" s="13" t="str">
        <f>"TKN charge at $"&amp;'TW Charges'!E10&amp;"/kg"</f>
        <v>TKN charge at $0.794/kg</v>
      </c>
      <c r="K35" s="14"/>
      <c r="L35" s="14"/>
      <c r="M35" s="14"/>
      <c r="N35" s="14"/>
      <c r="O35" s="61">
        <f>IFERROR(IF(AND(H35="",ISNUMBER(G35)),"-Enter Limit-",IF(AND($G$26="Enter ALL Monthly Flows",ISNUMBER(G35),ISNUMBER(H35)),"-Enter Flow-",IF(OR($E$23="**double**",$E$24="**double**",$E$25="**double**",$F$28="**double**",$F$32="**double**",$F$35="**double**",$F$38="**double**",$F$41="**double**"),0,IF(AND(H35&lt;=500,G35&gt;H35),H35*$G$26/1000*'TW Charges'!$E$10,IF(G35&gt;500,500*$G$26/1000*'TW Charges'!$E$10,G35*$G$26/1000*'TW Charges'!$E$10))))),"Check Inputs")</f>
        <v>0</v>
      </c>
      <c r="P35" s="11"/>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row>
    <row r="36" spans="2:45" x14ac:dyDescent="0.2">
      <c r="B36" s="10"/>
      <c r="C36" s="79" t="s">
        <v>16</v>
      </c>
      <c r="G36" s="7"/>
      <c r="H36" s="7"/>
      <c r="I36" s="7"/>
      <c r="J36" s="41" t="str">
        <f>"Cost reflective (non compliance) TKN charge at $"&amp;'TW Charges'!F10&amp;"/kg"</f>
        <v>Cost reflective (non compliance) TKN charge at $2.991/kg</v>
      </c>
      <c r="K36" s="43"/>
      <c r="L36" s="43"/>
      <c r="M36" s="43"/>
      <c r="N36" s="43"/>
      <c r="O36" s="62">
        <f>IF(AND(H35="",ISNUMBER(G35)),"-Enter Limit-",IF(OR($E$23="**double**",$E$24="**double**",$E$25="**double**",$F$28="**double**",$F$32="**double**",$F$35="**double**",$F$38="**double**",$F$41="**double**"),G35*$G$26/1000*'TW Charges'!$F$10,IF(G35&gt;H35,(G35-H35)*$G$26/1000*'TW Charges'!$F$10,0)))</f>
        <v>0</v>
      </c>
      <c r="P36" s="38"/>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row>
    <row r="37" spans="2:45" ht="13.5" thickBot="1" x14ac:dyDescent="0.25">
      <c r="B37" s="10"/>
      <c r="G37" s="15"/>
      <c r="H37" s="15"/>
      <c r="I37" s="15"/>
      <c r="J37"/>
      <c r="K37" s="14"/>
      <c r="L37" s="14"/>
      <c r="M37" s="14"/>
      <c r="N37" s="14"/>
      <c r="O37" s="61"/>
      <c r="P37" s="11"/>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row>
    <row r="38" spans="2:45" ht="13.5" thickBot="1" x14ac:dyDescent="0.25">
      <c r="B38" s="10"/>
      <c r="C38" s="3" t="s">
        <v>17</v>
      </c>
      <c r="F38" s="82" t="str">
        <f>IF(OR(G38="",H38=""),"",IF(G38&gt;=2*H38,"**DOUBLE**",""))</f>
        <v/>
      </c>
      <c r="G38" s="1"/>
      <c r="H38" s="2"/>
      <c r="I38" s="12"/>
      <c r="J38" s="13" t="str">
        <f>"TP charge at $"&amp;'TW Charges'!E11&amp;"/kg"</f>
        <v>TP charge at $3.863/kg</v>
      </c>
      <c r="K38" s="14"/>
      <c r="L38" s="14"/>
      <c r="O38" s="61">
        <f>IFERROR(IF(AND(H38="",ISNUMBER(G38)),"-Enter Limit-",IF(AND($G$26="Enter ALL Monthly Flows",ISNUMBER(G38),ISNUMBER(H38)),"-Enter Flow-",IF(OR($E$23="**double**",$E$24="**double**",$E$25="**double**",$F$28="**double**",$F$32="**double**",$F$35="**double**",$F$38="**double**",$F$41="**double**"),0,IF(AND(H38&lt;=500,G38&gt;H38),H38*$G$26/1000*'TW Charges'!$E$11,IF(G38&gt;500,500*$G$26/1000*'TW Charges'!$E$11,G38*$G$26/1000*'TW Charges'!$E$11))))),"Check Inputs")</f>
        <v>0</v>
      </c>
      <c r="P38" s="11"/>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row>
    <row r="39" spans="2:45" x14ac:dyDescent="0.2">
      <c r="B39" s="10"/>
      <c r="C39" s="79" t="s">
        <v>18</v>
      </c>
      <c r="G39" s="7"/>
      <c r="H39" s="7"/>
      <c r="I39" s="7"/>
      <c r="J39" s="41" t="str">
        <f>"Cost reflective (non compliance) TP charge at $"&amp;'TW Charges'!F11&amp;"/kg"</f>
        <v>Cost reflective (non compliance) TP charge at $19.635/kg</v>
      </c>
      <c r="K39" s="43"/>
      <c r="L39" s="43"/>
      <c r="M39" s="43"/>
      <c r="N39" s="43"/>
      <c r="O39" s="62">
        <f>IF(AND(H38="",ISNUMBER(G38)),"-Enter Limit-",IF(OR($E$23="**double**",$E$24="**double**",$E$25="**double**",$F$28="**double**",$F$32="**double**",$F$35="**double**",$F$38="**double**",$F$41="**double**"),G38*$G$26/1000*'TW Charges'!$F$11,IF(G38&gt;H38,(G38-H38)*$G$26/1000*'TW Charges'!$F$11,0)))</f>
        <v>0</v>
      </c>
      <c r="P39" s="11"/>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row>
    <row r="40" spans="2:45" ht="13.5" thickBot="1" x14ac:dyDescent="0.25">
      <c r="B40" s="10"/>
      <c r="C40" s="79"/>
      <c r="G40" s="7"/>
      <c r="H40" s="7"/>
      <c r="I40" s="7"/>
      <c r="J40" s="86"/>
      <c r="K40" s="88"/>
      <c r="L40" s="88"/>
      <c r="M40" s="88"/>
      <c r="N40" s="88"/>
      <c r="O40" s="63"/>
      <c r="P40" s="11"/>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row>
    <row r="41" spans="2:45" ht="13.5" thickBot="1" x14ac:dyDescent="0.25">
      <c r="B41" s="10"/>
      <c r="C41" s="3" t="s">
        <v>19</v>
      </c>
      <c r="F41" s="82" t="str">
        <f>IF(OR(G41="",H41=""),"",IF(G41&gt;=2*H41,"**DOUBLE**",""))</f>
        <v/>
      </c>
      <c r="G41" s="1"/>
      <c r="H41" s="2"/>
      <c r="I41" s="7"/>
      <c r="J41" s="86"/>
      <c r="K41" s="88"/>
      <c r="L41" s="88"/>
      <c r="M41" s="88"/>
      <c r="N41" s="88"/>
      <c r="O41" s="63"/>
      <c r="P41" s="11"/>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row>
    <row r="42" spans="2:45" x14ac:dyDescent="0.2">
      <c r="B42" s="10"/>
      <c r="C42" s="79" t="s">
        <v>20</v>
      </c>
      <c r="G42" s="7"/>
      <c r="H42" s="7"/>
      <c r="I42" s="15"/>
      <c r="M42" s="14"/>
      <c r="N42" s="14"/>
      <c r="O42" s="63"/>
      <c r="P42" s="11"/>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row>
    <row r="43" spans="2:45" x14ac:dyDescent="0.2">
      <c r="B43" s="10"/>
      <c r="I43" s="15"/>
      <c r="J43" s="18" t="s">
        <v>21</v>
      </c>
      <c r="O43" s="56">
        <f>IFERROR(SUM(O23,O28,O32,O29,O35,O38),0)</f>
        <v>0</v>
      </c>
      <c r="P43" s="11"/>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row>
    <row r="44" spans="2:45" x14ac:dyDescent="0.2">
      <c r="B44" s="10"/>
      <c r="I44" s="15"/>
      <c r="J44" s="18" t="s">
        <v>22</v>
      </c>
      <c r="O44" s="56">
        <f>IFERROR(SUM(O24,O30,O33,O36,O39),0)</f>
        <v>0</v>
      </c>
      <c r="P44" s="11"/>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row>
    <row r="45" spans="2:45" x14ac:dyDescent="0.2">
      <c r="B45" s="10"/>
      <c r="G45" s="15"/>
      <c r="H45" s="15"/>
      <c r="I45" s="15"/>
      <c r="J45" s="39"/>
      <c r="O45" s="17"/>
      <c r="P45" s="11"/>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row>
    <row r="46" spans="2:45" ht="16.5" thickBot="1" x14ac:dyDescent="0.3">
      <c r="B46" s="10"/>
      <c r="G46" s="15"/>
      <c r="H46" s="15"/>
      <c r="I46" s="15"/>
      <c r="J46" s="19" t="s">
        <v>23</v>
      </c>
      <c r="K46" s="50"/>
      <c r="L46" s="50"/>
      <c r="M46" s="50"/>
      <c r="N46" s="50"/>
      <c r="O46" s="58">
        <f>O44+O43</f>
        <v>0</v>
      </c>
      <c r="P46" s="11"/>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row>
    <row r="47" spans="2:45" ht="16.5" thickBot="1" x14ac:dyDescent="0.3">
      <c r="B47" s="10"/>
      <c r="C47" s="33" t="s">
        <v>24</v>
      </c>
      <c r="D47" s="20"/>
      <c r="E47" s="7"/>
      <c r="F47" s="7"/>
      <c r="G47" s="40"/>
      <c r="J47" s="7"/>
      <c r="K47" s="7"/>
      <c r="N47" s="55"/>
      <c r="O47" s="59"/>
      <c r="P47" s="51"/>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row>
    <row r="48" spans="2:45" ht="16.5" thickBot="1" x14ac:dyDescent="0.3">
      <c r="B48" s="10"/>
      <c r="C48" s="21" t="s">
        <v>25</v>
      </c>
      <c r="D48" s="7"/>
      <c r="E48" s="7"/>
      <c r="F48" s="7"/>
      <c r="G48" s="44"/>
      <c r="H48" s="21"/>
      <c r="I48" s="21"/>
      <c r="J48" s="18" t="str">
        <f>IF(AND(ISNUMBER(G47),ISNUMBER(G48)),"Analysis and Monitoring costs included (including GST)","No Analysis and Monitoring costs included")</f>
        <v>No Analysis and Monitoring costs included</v>
      </c>
      <c r="K48" s="21"/>
      <c r="L48" s="33"/>
      <c r="M48" s="33"/>
      <c r="N48" s="53"/>
      <c r="O48" s="57">
        <f>IF(AND(ISNUMBER(G47),ISNUMBER(G48)),1.1*G48*G47,0)</f>
        <v>0</v>
      </c>
      <c r="P48" s="51"/>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row>
    <row r="49" spans="2:45" ht="15.75" x14ac:dyDescent="0.25">
      <c r="B49" s="10"/>
      <c r="C49" s="7"/>
      <c r="D49" s="22"/>
      <c r="F49" s="20"/>
      <c r="G49" s="23"/>
      <c r="H49" s="7"/>
      <c r="I49" s="7"/>
      <c r="J49" s="7"/>
      <c r="K49" s="7"/>
      <c r="M49" s="7"/>
      <c r="N49" s="20"/>
      <c r="O49" s="60"/>
      <c r="P49" s="51"/>
      <c r="R49" s="7"/>
      <c r="S49" s="7"/>
      <c r="T49" s="25"/>
      <c r="U49" s="7"/>
      <c r="V49" s="7"/>
      <c r="W49" s="25"/>
      <c r="X49" s="7"/>
      <c r="Y49" s="7"/>
      <c r="Z49" s="7"/>
      <c r="AA49" s="7"/>
      <c r="AB49" s="7"/>
      <c r="AC49" s="7"/>
      <c r="AD49" s="7"/>
      <c r="AE49" s="7"/>
      <c r="AF49" s="7"/>
      <c r="AG49" s="7"/>
      <c r="AH49" s="25"/>
      <c r="AI49" s="7"/>
      <c r="AJ49" s="7"/>
      <c r="AK49" s="25"/>
      <c r="AL49" s="7"/>
      <c r="AM49" s="7"/>
      <c r="AN49" s="7"/>
      <c r="AO49" s="7"/>
      <c r="AP49" s="7"/>
      <c r="AQ49" s="7"/>
      <c r="AR49" s="7"/>
      <c r="AS49" s="7"/>
    </row>
    <row r="50" spans="2:45" ht="15.75" x14ac:dyDescent="0.25">
      <c r="B50" s="10"/>
      <c r="C50" s="7"/>
      <c r="D50" s="22"/>
      <c r="F50" s="20"/>
      <c r="G50" s="23"/>
      <c r="H50" s="7"/>
      <c r="I50" s="7"/>
      <c r="J50" s="19" t="s">
        <v>26</v>
      </c>
      <c r="K50" s="7"/>
      <c r="M50" s="7"/>
      <c r="N50" s="67" t="s">
        <v>27</v>
      </c>
      <c r="O50" s="58">
        <f>SUM(O48:O48)</f>
        <v>0</v>
      </c>
      <c r="P50" s="51"/>
      <c r="R50" s="7"/>
      <c r="S50" s="7"/>
      <c r="T50" s="25"/>
      <c r="U50" s="7"/>
      <c r="V50" s="7"/>
      <c r="W50" s="25"/>
      <c r="X50" s="7"/>
      <c r="Y50" s="7"/>
      <c r="Z50" s="7"/>
      <c r="AA50" s="7"/>
      <c r="AB50" s="7"/>
      <c r="AC50" s="7"/>
      <c r="AD50" s="7"/>
      <c r="AE50" s="7"/>
      <c r="AF50" s="7"/>
      <c r="AG50" s="7"/>
      <c r="AH50" s="25"/>
      <c r="AI50" s="7"/>
      <c r="AJ50" s="7"/>
      <c r="AK50" s="25"/>
      <c r="AL50" s="7"/>
      <c r="AM50" s="7"/>
      <c r="AN50" s="7"/>
      <c r="AO50" s="7"/>
      <c r="AP50" s="7"/>
      <c r="AQ50" s="7"/>
      <c r="AR50" s="7"/>
      <c r="AS50" s="7"/>
    </row>
    <row r="51" spans="2:45" ht="15.75" x14ac:dyDescent="0.25">
      <c r="B51" s="10"/>
      <c r="C51" s="7"/>
      <c r="D51" s="69"/>
      <c r="F51" s="20"/>
      <c r="G51" s="23"/>
      <c r="H51" s="7"/>
      <c r="I51" s="7"/>
      <c r="J51" s="7"/>
      <c r="K51" s="7"/>
      <c r="M51" s="7"/>
      <c r="N51" s="67"/>
      <c r="O51" s="60"/>
      <c r="P51" s="51"/>
      <c r="R51" s="7"/>
      <c r="S51" s="7"/>
      <c r="T51" s="25"/>
      <c r="U51" s="7"/>
      <c r="V51" s="7"/>
      <c r="W51" s="25"/>
      <c r="X51" s="7"/>
      <c r="Y51" s="7"/>
      <c r="Z51" s="7"/>
      <c r="AA51" s="7"/>
      <c r="AB51" s="7"/>
      <c r="AC51" s="7"/>
      <c r="AD51" s="7"/>
      <c r="AE51" s="7"/>
      <c r="AF51" s="7"/>
      <c r="AG51" s="7"/>
      <c r="AH51" s="25"/>
      <c r="AI51" s="7"/>
      <c r="AJ51" s="7"/>
      <c r="AK51" s="25"/>
      <c r="AL51" s="7"/>
      <c r="AM51" s="7"/>
      <c r="AN51" s="7"/>
      <c r="AO51" s="7"/>
      <c r="AP51" s="7"/>
      <c r="AQ51" s="7"/>
      <c r="AR51" s="7"/>
      <c r="AS51" s="7"/>
    </row>
    <row r="52" spans="2:45" ht="15.75" x14ac:dyDescent="0.25">
      <c r="B52" s="10"/>
      <c r="C52" s="7"/>
      <c r="D52" s="69"/>
      <c r="E52" s="64"/>
      <c r="F52" s="20"/>
      <c r="G52" s="23"/>
      <c r="H52" s="7"/>
      <c r="I52" s="7"/>
      <c r="J52" s="70" t="s">
        <v>28</v>
      </c>
      <c r="K52" s="71"/>
      <c r="L52" s="5"/>
      <c r="M52" s="71"/>
      <c r="N52" s="72"/>
      <c r="O52" s="73">
        <f>(SUM(O48)-(SUM(O48)/1.1))</f>
        <v>0</v>
      </c>
      <c r="P52" s="51"/>
      <c r="R52" s="7"/>
      <c r="S52" s="7"/>
      <c r="T52" s="25"/>
      <c r="U52" s="7"/>
      <c r="V52" s="7"/>
      <c r="W52" s="25"/>
      <c r="X52" s="7"/>
      <c r="Y52" s="7"/>
      <c r="Z52" s="7"/>
      <c r="AA52" s="7"/>
      <c r="AB52" s="7"/>
      <c r="AC52" s="7"/>
      <c r="AD52" s="7"/>
      <c r="AE52" s="7"/>
      <c r="AF52" s="7"/>
      <c r="AG52" s="7"/>
      <c r="AH52" s="25"/>
      <c r="AI52" s="7"/>
      <c r="AJ52" s="7"/>
      <c r="AK52" s="25"/>
      <c r="AL52" s="7"/>
      <c r="AM52" s="7"/>
      <c r="AN52" s="7"/>
      <c r="AO52" s="7"/>
      <c r="AP52" s="7"/>
      <c r="AQ52" s="7"/>
      <c r="AR52" s="7"/>
      <c r="AS52" s="7"/>
    </row>
    <row r="53" spans="2:45" ht="15.75" x14ac:dyDescent="0.25">
      <c r="B53" s="10"/>
      <c r="C53" s="7"/>
      <c r="D53" s="69"/>
      <c r="F53" s="20"/>
      <c r="G53" s="23"/>
      <c r="H53" s="7"/>
      <c r="I53" s="7"/>
      <c r="J53" s="7"/>
      <c r="K53" s="7"/>
      <c r="M53" s="7"/>
      <c r="N53" s="7"/>
      <c r="O53" s="24"/>
      <c r="P53" s="51"/>
      <c r="R53" s="7"/>
      <c r="S53" s="7"/>
      <c r="T53" s="7"/>
      <c r="U53" s="7"/>
      <c r="V53" s="7"/>
      <c r="W53" s="25"/>
      <c r="X53" s="7"/>
      <c r="Y53" s="7"/>
      <c r="Z53" s="7"/>
      <c r="AA53" s="7"/>
      <c r="AB53" s="7"/>
      <c r="AC53" s="7"/>
      <c r="AD53" s="7"/>
      <c r="AE53" s="7"/>
      <c r="AF53" s="7"/>
      <c r="AG53" s="7"/>
      <c r="AH53" s="7"/>
      <c r="AI53" s="7"/>
      <c r="AJ53" s="7"/>
      <c r="AK53" s="25"/>
      <c r="AL53" s="7"/>
      <c r="AM53" s="7"/>
      <c r="AN53" s="7"/>
      <c r="AO53" s="7"/>
      <c r="AP53" s="7"/>
      <c r="AQ53" s="7"/>
      <c r="AR53" s="7"/>
      <c r="AS53" s="7"/>
    </row>
    <row r="54" spans="2:45" ht="18" x14ac:dyDescent="0.3">
      <c r="B54" s="10"/>
      <c r="C54" s="7"/>
      <c r="D54" s="69"/>
      <c r="F54" s="20"/>
      <c r="G54" s="23"/>
      <c r="H54" s="7"/>
      <c r="I54" s="7"/>
      <c r="J54" s="89" t="s">
        <v>29</v>
      </c>
      <c r="K54" s="7"/>
      <c r="M54" s="90"/>
      <c r="N54" s="83" t="s">
        <v>30</v>
      </c>
      <c r="O54" s="91">
        <f>SUM(O46,O50)</f>
        <v>0</v>
      </c>
      <c r="P54" s="51"/>
      <c r="R54" s="7"/>
      <c r="S54" s="7"/>
      <c r="T54" s="7"/>
      <c r="U54" s="7"/>
      <c r="V54" s="7"/>
      <c r="W54" s="25"/>
      <c r="X54" s="7"/>
      <c r="Y54" s="7"/>
      <c r="Z54" s="7"/>
      <c r="AA54" s="7"/>
      <c r="AB54" s="7"/>
      <c r="AC54" s="7"/>
      <c r="AD54" s="7"/>
      <c r="AE54" s="7"/>
      <c r="AF54" s="7"/>
      <c r="AG54" s="7"/>
      <c r="AH54" s="7"/>
      <c r="AI54" s="7"/>
      <c r="AJ54" s="7"/>
      <c r="AK54" s="25"/>
      <c r="AL54" s="7"/>
      <c r="AM54" s="7"/>
      <c r="AN54" s="7"/>
      <c r="AO54" s="7"/>
      <c r="AP54" s="7"/>
      <c r="AQ54" s="7"/>
      <c r="AR54" s="7"/>
      <c r="AS54" s="7"/>
    </row>
    <row r="55" spans="2:45" ht="18" x14ac:dyDescent="0.3">
      <c r="B55" s="10"/>
      <c r="C55" s="7"/>
      <c r="D55" s="69"/>
      <c r="F55" s="20"/>
      <c r="G55" s="23"/>
      <c r="H55" s="7"/>
      <c r="I55" s="7"/>
      <c r="J55" s="89"/>
      <c r="K55" s="7"/>
      <c r="M55" s="90"/>
      <c r="N55" s="83"/>
      <c r="O55" s="91"/>
      <c r="P55" s="51"/>
      <c r="R55" s="7"/>
      <c r="S55" s="7"/>
      <c r="T55" s="7"/>
      <c r="U55" s="7"/>
      <c r="V55" s="7"/>
      <c r="W55" s="25"/>
      <c r="X55" s="7"/>
      <c r="Y55" s="7"/>
      <c r="Z55" s="7"/>
      <c r="AA55" s="7"/>
      <c r="AB55" s="7"/>
      <c r="AC55" s="7"/>
      <c r="AD55" s="7"/>
      <c r="AE55" s="7"/>
      <c r="AF55" s="7"/>
      <c r="AG55" s="7"/>
      <c r="AH55" s="7"/>
      <c r="AI55" s="7"/>
      <c r="AJ55" s="7"/>
      <c r="AK55" s="25"/>
      <c r="AL55" s="7"/>
      <c r="AM55" s="7"/>
      <c r="AN55" s="7"/>
      <c r="AO55" s="7"/>
      <c r="AP55" s="7"/>
      <c r="AQ55" s="7"/>
      <c r="AR55" s="7"/>
      <c r="AS55" s="7"/>
    </row>
    <row r="56" spans="2:45" ht="18" x14ac:dyDescent="0.3">
      <c r="B56" s="10"/>
      <c r="C56" s="92" t="s">
        <v>31</v>
      </c>
      <c r="D56" s="69"/>
      <c r="F56" s="20"/>
      <c r="H56" s="7"/>
      <c r="I56" s="7"/>
      <c r="J56" s="89" t="s">
        <v>32</v>
      </c>
      <c r="K56" s="7"/>
      <c r="M56" s="90"/>
      <c r="N56" s="83"/>
      <c r="O56" s="91">
        <f>IF(OR(G23&gt;H23,G24&gt;H23,G25&gt;H23,G28&gt;H28,G32&gt;H32,G35&gt;H35,G38&gt;H38,G41&gt;H41),"Discharge limits exceeded this qtr",O43*0.05)</f>
        <v>0</v>
      </c>
      <c r="P56" s="51"/>
      <c r="R56" s="7"/>
      <c r="S56" s="7"/>
      <c r="T56" s="7"/>
      <c r="U56" s="7"/>
      <c r="V56" s="7"/>
      <c r="W56" s="25"/>
      <c r="X56" s="7"/>
      <c r="Y56" s="7"/>
      <c r="Z56" s="7"/>
      <c r="AA56" s="7"/>
      <c r="AB56" s="7"/>
      <c r="AC56" s="7"/>
      <c r="AD56" s="7"/>
      <c r="AE56" s="7"/>
      <c r="AF56" s="7"/>
      <c r="AG56" s="7"/>
      <c r="AH56" s="7"/>
      <c r="AI56" s="7"/>
      <c r="AJ56" s="7"/>
      <c r="AK56" s="25"/>
      <c r="AL56" s="7"/>
      <c r="AM56" s="7"/>
      <c r="AN56" s="7"/>
      <c r="AO56" s="7"/>
      <c r="AP56" s="7"/>
      <c r="AQ56" s="7"/>
      <c r="AR56" s="7"/>
      <c r="AS56" s="7"/>
    </row>
    <row r="57" spans="2:45" ht="18" x14ac:dyDescent="0.3">
      <c r="B57" s="10"/>
      <c r="C57" s="92" t="s">
        <v>33</v>
      </c>
      <c r="D57" s="69"/>
      <c r="F57" s="20"/>
      <c r="G57" s="23"/>
      <c r="H57" s="7"/>
      <c r="I57" s="7"/>
      <c r="J57" s="89" t="s">
        <v>29</v>
      </c>
      <c r="K57" s="7"/>
      <c r="M57" s="90"/>
      <c r="N57" s="83"/>
      <c r="O57" s="91">
        <f>IFERROR(O43-O56+O50,"NA")</f>
        <v>0</v>
      </c>
      <c r="P57" s="51"/>
      <c r="R57" s="7"/>
      <c r="S57" s="7"/>
      <c r="T57" s="7"/>
      <c r="U57" s="7"/>
      <c r="V57" s="7"/>
      <c r="W57" s="25"/>
      <c r="X57" s="7"/>
      <c r="Y57" s="7"/>
      <c r="Z57" s="7"/>
      <c r="AA57" s="7"/>
      <c r="AB57" s="7"/>
      <c r="AC57" s="7"/>
      <c r="AD57" s="7"/>
      <c r="AE57" s="7"/>
      <c r="AF57" s="7"/>
      <c r="AG57" s="7"/>
      <c r="AH57" s="7"/>
      <c r="AI57" s="7"/>
      <c r="AJ57" s="7"/>
      <c r="AK57" s="25"/>
      <c r="AL57" s="7"/>
      <c r="AM57" s="7"/>
      <c r="AN57" s="7"/>
      <c r="AO57" s="7"/>
      <c r="AP57" s="7"/>
      <c r="AQ57" s="7"/>
      <c r="AR57" s="7"/>
      <c r="AS57" s="7"/>
    </row>
    <row r="58" spans="2:45" ht="18" x14ac:dyDescent="0.3">
      <c r="B58" s="26"/>
      <c r="C58" s="27"/>
      <c r="D58" s="28"/>
      <c r="E58" s="29"/>
      <c r="F58" s="28"/>
      <c r="G58" s="30"/>
      <c r="H58" s="27"/>
      <c r="I58" s="27"/>
      <c r="J58" s="65"/>
      <c r="K58" s="27"/>
      <c r="L58" s="29"/>
      <c r="M58" s="31"/>
      <c r="N58" s="68"/>
      <c r="O58" s="66"/>
      <c r="P58" s="52"/>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row>
    <row r="59" spans="2:45" x14ac:dyDescent="0.2">
      <c r="H59" s="7"/>
      <c r="I59" s="7"/>
      <c r="J59" s="7"/>
      <c r="K59" s="7"/>
      <c r="M59" s="7"/>
      <c r="N59" s="7"/>
      <c r="O59" s="32"/>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row>
    <row r="60" spans="2:45" x14ac:dyDescent="0.2">
      <c r="H60" s="7"/>
      <c r="I60" s="7"/>
      <c r="J60" s="7"/>
      <c r="K60" s="7"/>
      <c r="M60" s="7"/>
      <c r="N60" s="7"/>
      <c r="O60" s="32"/>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row>
    <row r="61" spans="2:45" x14ac:dyDescent="0.2">
      <c r="H61" s="7"/>
      <c r="I61" s="7"/>
      <c r="J61" s="7"/>
      <c r="K61" s="7"/>
      <c r="M61" s="7"/>
      <c r="N61" s="7"/>
      <c r="O61" s="32"/>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row>
    <row r="62" spans="2:45" x14ac:dyDescent="0.2">
      <c r="H62" s="7"/>
      <c r="I62" s="7"/>
      <c r="J62" s="7"/>
      <c r="K62" s="7"/>
      <c r="M62" s="7"/>
      <c r="N62" s="7"/>
      <c r="O62" s="32"/>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row>
    <row r="63" spans="2:45" x14ac:dyDescent="0.2">
      <c r="H63" s="7"/>
      <c r="I63" s="7"/>
      <c r="J63" s="7"/>
      <c r="K63" s="7"/>
      <c r="M63" s="7"/>
      <c r="N63" s="7"/>
      <c r="O63" s="32"/>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row>
    <row r="64" spans="2:45" x14ac:dyDescent="0.2">
      <c r="H64" s="7"/>
      <c r="I64" s="7"/>
      <c r="J64" s="7"/>
      <c r="K64" s="7"/>
      <c r="M64" s="7"/>
      <c r="N64" s="7"/>
      <c r="O64" s="32"/>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row>
    <row r="65" spans="2:45" x14ac:dyDescent="0.2">
      <c r="C65" s="7"/>
      <c r="D65" s="7"/>
      <c r="F65" s="7"/>
      <c r="G65" s="7"/>
      <c r="H65" s="7"/>
      <c r="I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row>
    <row r="66" spans="2:45" x14ac:dyDescent="0.2">
      <c r="C66" s="7"/>
      <c r="D66" s="7"/>
      <c r="F66" s="7"/>
      <c r="G66" s="7"/>
      <c r="H66" s="7"/>
      <c r="I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row>
    <row r="67" spans="2:45" ht="13.9" customHeight="1" x14ac:dyDescent="0.2">
      <c r="B67" s="102" t="s">
        <v>34</v>
      </c>
      <c r="C67" s="102"/>
      <c r="D67" s="102"/>
      <c r="E67" s="102"/>
      <c r="F67" s="102"/>
      <c r="G67" s="102"/>
      <c r="H67" s="102"/>
      <c r="I67" s="102"/>
      <c r="J67" s="102"/>
      <c r="K67" s="102"/>
      <c r="L67" s="102"/>
      <c r="M67" s="102"/>
      <c r="N67" s="102"/>
      <c r="O67" s="102"/>
      <c r="P67" s="102"/>
    </row>
    <row r="68" spans="2:45" ht="41.45" customHeight="1" x14ac:dyDescent="0.2">
      <c r="B68" s="101" t="s">
        <v>35</v>
      </c>
      <c r="C68" s="101"/>
      <c r="D68" s="101"/>
      <c r="E68" s="101"/>
      <c r="F68" s="101"/>
      <c r="G68" s="101"/>
      <c r="H68" s="101"/>
      <c r="I68" s="101"/>
      <c r="J68" s="101"/>
      <c r="K68" s="101"/>
      <c r="L68" s="101"/>
      <c r="M68" s="101"/>
      <c r="N68" s="101"/>
      <c r="O68" s="101"/>
      <c r="P68" s="101"/>
    </row>
    <row r="69" spans="2:45" x14ac:dyDescent="0.2">
      <c r="B69" s="100"/>
      <c r="C69" s="100"/>
      <c r="D69" s="100"/>
      <c r="E69" s="100"/>
      <c r="F69" s="100"/>
      <c r="G69" s="100"/>
      <c r="H69" s="100"/>
      <c r="I69" s="100"/>
      <c r="J69" s="100"/>
      <c r="K69" s="100"/>
      <c r="L69" s="100"/>
      <c r="M69" s="100"/>
      <c r="N69" s="100"/>
      <c r="O69" s="100"/>
      <c r="P69" s="100"/>
    </row>
    <row r="70" spans="2:45" ht="27.6" customHeight="1" x14ac:dyDescent="0.2">
      <c r="B70" s="101" t="s">
        <v>36</v>
      </c>
      <c r="C70" s="101"/>
      <c r="D70" s="101"/>
      <c r="E70" s="101"/>
      <c r="F70" s="101"/>
      <c r="G70" s="101"/>
      <c r="H70" s="101"/>
      <c r="I70" s="101"/>
      <c r="J70" s="101"/>
      <c r="K70" s="101"/>
      <c r="L70" s="101"/>
      <c r="M70" s="101"/>
      <c r="N70" s="101"/>
      <c r="O70" s="101"/>
      <c r="P70" s="101"/>
    </row>
    <row r="71" spans="2:45" x14ac:dyDescent="0.2">
      <c r="B71" s="100"/>
      <c r="C71" s="100"/>
      <c r="D71" s="100"/>
      <c r="E71" s="100"/>
      <c r="F71" s="100"/>
      <c r="G71" s="100"/>
      <c r="H71" s="100"/>
      <c r="I71" s="100"/>
      <c r="J71" s="100"/>
      <c r="K71" s="100"/>
      <c r="L71" s="100"/>
      <c r="M71" s="100"/>
      <c r="N71" s="100"/>
      <c r="O71" s="100"/>
      <c r="P71" s="100"/>
    </row>
    <row r="72" spans="2:45" ht="13.9" customHeight="1" x14ac:dyDescent="0.2">
      <c r="B72" s="101" t="s">
        <v>37</v>
      </c>
      <c r="C72" s="101"/>
      <c r="D72" s="101"/>
      <c r="E72" s="101"/>
      <c r="F72" s="101"/>
      <c r="G72" s="101"/>
      <c r="H72" s="101"/>
      <c r="I72" s="101"/>
      <c r="J72" s="101"/>
      <c r="K72" s="101"/>
      <c r="L72" s="101"/>
      <c r="M72" s="101"/>
      <c r="N72" s="101"/>
      <c r="O72" s="101"/>
      <c r="P72" s="101"/>
    </row>
    <row r="73" spans="2:45" ht="69" customHeight="1" x14ac:dyDescent="0.2">
      <c r="B73" s="101" t="s">
        <v>38</v>
      </c>
      <c r="C73" s="101"/>
      <c r="D73" s="101"/>
      <c r="E73" s="101"/>
      <c r="F73" s="101"/>
      <c r="G73" s="101"/>
      <c r="H73" s="101"/>
      <c r="I73" s="101"/>
      <c r="J73" s="101"/>
      <c r="K73" s="101"/>
      <c r="L73" s="101"/>
      <c r="M73" s="101"/>
      <c r="N73" s="101"/>
      <c r="O73" s="101"/>
      <c r="P73" s="101"/>
    </row>
  </sheetData>
  <sheetProtection algorithmName="SHA-512" hashValue="3ihlsussz7WKxp6LsB6NPBFdjsLyX6SORVrGpDTOxEZj6GPnt5Y2QaADsl1qFAdnJt76TrW19o1lT39TpJqUOg==" saltValue="UbSAu3HWWtc+hp3K1SmvLQ==" spinCount="100000" sheet="1" objects="1" scenarios="1"/>
  <mergeCells count="13">
    <mergeCell ref="B71:P71"/>
    <mergeCell ref="B72:P72"/>
    <mergeCell ref="B73:P73"/>
    <mergeCell ref="B67:P67"/>
    <mergeCell ref="B68:P68"/>
    <mergeCell ref="B69:P69"/>
    <mergeCell ref="B70:P70"/>
    <mergeCell ref="AG20:AQ20"/>
    <mergeCell ref="B15:P15"/>
    <mergeCell ref="B11:P11"/>
    <mergeCell ref="B18:P18"/>
    <mergeCell ref="C20:O20"/>
    <mergeCell ref="S20:AC20"/>
  </mergeCells>
  <hyperlinks>
    <hyperlink ref="C16" r:id="rId1" xr:uid="{00000000-0004-0000-0000-000001000000}"/>
  </hyperlinks>
  <pageMargins left="0.75" right="0.75" top="1" bottom="1" header="0.5" footer="0.5"/>
  <pageSetup paperSize="9"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4"/>
  <sheetViews>
    <sheetView workbookViewId="0">
      <selection activeCell="F24" sqref="F24"/>
    </sheetView>
  </sheetViews>
  <sheetFormatPr defaultColWidth="0" defaultRowHeight="12.75" zeroHeight="1" x14ac:dyDescent="0.2"/>
  <cols>
    <col min="1" max="1" width="3" style="7" customWidth="1"/>
    <col min="2" max="2" width="16.28515625" style="7" customWidth="1"/>
    <col min="3" max="3" width="23.5703125" style="7" bestFit="1" customWidth="1"/>
    <col min="4" max="4" width="10.5703125" style="7" bestFit="1" customWidth="1"/>
    <col min="5" max="5" width="10" style="7" bestFit="1" customWidth="1"/>
    <col min="6" max="6" width="20.28515625" style="7" customWidth="1"/>
    <col min="7" max="7" width="8.85546875" style="7" customWidth="1"/>
    <col min="8" max="16384" width="0" style="7" hidden="1"/>
  </cols>
  <sheetData>
    <row r="1" spans="2:11" x14ac:dyDescent="0.2"/>
    <row r="2" spans="2:11" ht="28.5" x14ac:dyDescent="0.2">
      <c r="B2" s="96" t="s">
        <v>39</v>
      </c>
      <c r="C2" s="96"/>
      <c r="D2" s="96"/>
      <c r="E2" s="96"/>
      <c r="F2" s="96"/>
      <c r="G2" s="96"/>
      <c r="H2" s="35"/>
      <c r="I2" s="35"/>
      <c r="J2" s="35"/>
      <c r="K2" s="35"/>
    </row>
    <row r="3" spans="2:11" ht="15" x14ac:dyDescent="0.25">
      <c r="B3" s="75" t="s">
        <v>40</v>
      </c>
      <c r="C3" s="74"/>
      <c r="D3" s="74"/>
    </row>
    <row r="4" spans="2:11" ht="15" x14ac:dyDescent="0.25">
      <c r="C4" s="33" t="s">
        <v>41</v>
      </c>
      <c r="D4" s="33"/>
      <c r="E4" s="76" t="s">
        <v>58</v>
      </c>
      <c r="F4"/>
      <c r="G4"/>
    </row>
    <row r="5" spans="2:11" x14ac:dyDescent="0.2">
      <c r="B5" s="21" t="s">
        <v>42</v>
      </c>
      <c r="C5" s="33" t="s">
        <v>43</v>
      </c>
      <c r="D5" s="53" t="s">
        <v>44</v>
      </c>
      <c r="E5" s="36" t="s">
        <v>45</v>
      </c>
      <c r="F5" s="37" t="s">
        <v>46</v>
      </c>
      <c r="G5"/>
    </row>
    <row r="6" spans="2:11" ht="15" x14ac:dyDescent="0.25">
      <c r="C6" s="34" t="s">
        <v>47</v>
      </c>
      <c r="D6" s="54" t="s">
        <v>48</v>
      </c>
      <c r="E6" s="77">
        <v>0.31</v>
      </c>
      <c r="F6" s="77">
        <v>0.86299999999999999</v>
      </c>
      <c r="G6"/>
    </row>
    <row r="7" spans="2:11" ht="15" x14ac:dyDescent="0.25">
      <c r="C7" s="3" t="s">
        <v>49</v>
      </c>
      <c r="D7" s="55" t="s">
        <v>50</v>
      </c>
      <c r="E7" s="77">
        <v>0.50700000000000001</v>
      </c>
      <c r="F7" s="77">
        <v>0.68500000000000005</v>
      </c>
      <c r="G7"/>
    </row>
    <row r="8" spans="2:11" ht="15" x14ac:dyDescent="0.25">
      <c r="C8" s="3" t="s">
        <v>51</v>
      </c>
      <c r="D8" s="55" t="s">
        <v>50</v>
      </c>
      <c r="E8" s="77">
        <v>0.68500000000000005</v>
      </c>
      <c r="F8"/>
      <c r="G8"/>
    </row>
    <row r="9" spans="2:11" ht="15" x14ac:dyDescent="0.25">
      <c r="C9" s="3" t="s">
        <v>52</v>
      </c>
      <c r="D9" s="55" t="s">
        <v>50</v>
      </c>
      <c r="E9" s="77">
        <v>0.45</v>
      </c>
      <c r="F9" s="77">
        <v>0.7</v>
      </c>
      <c r="G9"/>
    </row>
    <row r="10" spans="2:11" ht="15" x14ac:dyDescent="0.25">
      <c r="C10" s="3" t="s">
        <v>53</v>
      </c>
      <c r="D10" s="55" t="s">
        <v>50</v>
      </c>
      <c r="E10" s="77">
        <v>0.79400000000000004</v>
      </c>
      <c r="F10" s="77">
        <v>2.9910000000000001</v>
      </c>
      <c r="G10"/>
    </row>
    <row r="11" spans="2:11" ht="15" x14ac:dyDescent="0.25">
      <c r="C11" s="3" t="s">
        <v>54</v>
      </c>
      <c r="D11" s="55" t="s">
        <v>50</v>
      </c>
      <c r="E11" s="77">
        <v>3.863</v>
      </c>
      <c r="F11" s="77">
        <v>19.635000000000002</v>
      </c>
      <c r="G11"/>
    </row>
    <row r="12" spans="2:11" ht="15" x14ac:dyDescent="0.25">
      <c r="C12" s="3" t="s">
        <v>55</v>
      </c>
      <c r="D12" s="55" t="s">
        <v>50</v>
      </c>
      <c r="E12" s="77">
        <v>0</v>
      </c>
      <c r="F12" s="77">
        <v>0</v>
      </c>
      <c r="G12"/>
    </row>
    <row r="13" spans="2:11" ht="15" x14ac:dyDescent="0.25">
      <c r="C13" s="7" t="s">
        <v>56</v>
      </c>
      <c r="E13" s="77">
        <v>0</v>
      </c>
    </row>
    <row r="14" spans="2:11" ht="15" x14ac:dyDescent="0.25">
      <c r="C14" s="7" t="s">
        <v>57</v>
      </c>
      <c r="E14" s="78">
        <v>88</v>
      </c>
    </row>
    <row r="18" spans="7:7" hidden="1" x14ac:dyDescent="0.2">
      <c r="G18" s="3"/>
    </row>
    <row r="19" spans="7:7" hidden="1" x14ac:dyDescent="0.2">
      <c r="G19" s="3"/>
    </row>
    <row r="20" spans="7:7" hidden="1" x14ac:dyDescent="0.2">
      <c r="G20" s="3"/>
    </row>
    <row r="21" spans="7:7" hidden="1" x14ac:dyDescent="0.2">
      <c r="G21" s="3"/>
    </row>
    <row r="22" spans="7:7" hidden="1" x14ac:dyDescent="0.2">
      <c r="G22" s="3"/>
    </row>
    <row r="23" spans="7:7" hidden="1" x14ac:dyDescent="0.2">
      <c r="G23" s="3"/>
    </row>
    <row r="24" spans="7:7" x14ac:dyDescent="0.2"/>
  </sheetData>
  <sheetProtection selectLockedCells="1" selectUnlockedCells="1"/>
  <mergeCells count="1">
    <mergeCell ref="B2:G2"/>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SAW Document - twn" ma:contentTypeID="0x0101001752DFC9D8433C4999EC38E8E29B3199000F157A2E7BBD2947BE2F12CD004AB7EF009121807B5E4EA2479FD068D281CFC441" ma:contentTypeVersion="906" ma:contentTypeDescription="" ma:contentTypeScope="" ma:versionID="c9149f4634057aaa26c04a69d41bde77">
  <xsd:schema xmlns:xsd="http://www.w3.org/2001/XMLSchema" xmlns:xs="http://www.w3.org/2001/XMLSchema" xmlns:p="http://schemas.microsoft.com/office/2006/metadata/properties" xmlns:ns2="ab47cd3e-2d7a-4819-b96f-e15a13f0f416" xmlns:ns4="f0e30b2f-cf26-47ef-88c7-d5236bb325b9" targetNamespace="http://schemas.microsoft.com/office/2006/metadata/properties" ma:root="true" ma:fieldsID="be38e3d9998a7444811d627ca73e54fb" ns2:_="" ns4:_="">
    <xsd:import namespace="ab47cd3e-2d7a-4819-b96f-e15a13f0f416"/>
    <xsd:import namespace="f0e30b2f-cf26-47ef-88c7-d5236bb325b9"/>
    <xsd:element name="properties">
      <xsd:complexType>
        <xsd:sequence>
          <xsd:element name="documentManagement">
            <xsd:complexType>
              <xsd:all>
                <xsd:element ref="ns2:Security_x0020_Classification" minOccurs="0"/>
                <xsd:element ref="ns2:Record_x0020_Creation_x0020_Date" minOccurs="0"/>
                <xsd:element ref="ns2:Native_x0020_Title" minOccurs="0"/>
                <xsd:element ref="ns2:TaxCatchAllLabel" minOccurs="0"/>
                <xsd:element ref="ns2:d62b7f4ed3a541c89c01ae711376debc" minOccurs="0"/>
                <xsd:element ref="ns2:e3fec0a48afc471b8d585f093684bac5" minOccurs="0"/>
                <xsd:element ref="ns2:TaxCatchAll" minOccurs="0"/>
                <xsd:element ref="ns2:_dlc_DocId" minOccurs="0"/>
                <xsd:element ref="ns2:_dlc_DocIdUrl" minOccurs="0"/>
                <xsd:element ref="ns2:_dlc_DocIdPersistId" minOccurs="0"/>
                <xsd:element ref="ns4:MediaServiceKeyPoints" minOccurs="0"/>
                <xsd:element ref="ns4:MediaServiceMetadata" minOccurs="0"/>
                <xsd:element ref="ns4:MediaServiceObjectDetectorVersions" minOccurs="0"/>
                <xsd:element ref="ns4:MediaServiceAutoKeyPoints" minOccurs="0"/>
                <xsd:element ref="ns4:MediaServiceFastMetadata" minOccurs="0"/>
                <xsd:element ref="ns4:MediaServiceSearchPropertie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47cd3e-2d7a-4819-b96f-e15a13f0f416"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internalName="Security_x0020_Classification0" ma:readOnly="false">
      <xsd:simpleType>
        <xsd:restriction base="dms:Choice">
          <xsd:enumeration value="UNOFFICIAL"/>
          <xsd:enumeration value="OFFICIAL"/>
          <xsd:enumeration value="OFFICIAL: Sensitive"/>
          <xsd:enumeration value="OFFICIAL: Sensitive//Personal privacy"/>
          <xsd:enumeration value="OFFICIAL: Sensitive//Legal privilege"/>
          <xsd:enumeration value="OFFICIAL: Sensitive//Medical in confidence"/>
          <xsd:enumeration value="OFFICIAL: Sensitive//Legislative secrecy"/>
          <xsd:enumeration value="OFFICIAL: Sensitive//SA CABINET"/>
          <xsd:enumeration value="For Official Use Only"/>
        </xsd:restriction>
      </xsd:simpleType>
    </xsd:element>
    <xsd:element name="Record_x0020_Creation_x0020_Date" ma:index="5" nillable="true" ma:displayName="Record Creation Date" ma:format="DateOnly" ma:internalName="Record_x0020_Creation_x0020_Date" ma:readOnly="false">
      <xsd:simpleType>
        <xsd:restriction base="dms:DateTime"/>
      </xsd:simpleType>
    </xsd:element>
    <xsd:element name="Native_x0020_Title" ma:index="6" nillable="true" ma:displayName="Native Title" ma:default="0" ma:internalName="Native_x0020_Title" ma:readOnly="false">
      <xsd:simpleType>
        <xsd:restriction base="dms:Boolean"/>
      </xsd:simpleType>
    </xsd:element>
    <xsd:element name="TaxCatchAllLabel" ma:index="8" nillable="true" ma:displayName="Taxonomy Catch All Column1" ma:hidden="true" ma:list="{00611f31-595e-4bcb-9144-80731690ae97}" ma:internalName="TaxCatchAllLabel" ma:readOnly="true" ma:showField="CatchAllDataLabel" ma:web="1888ab45-0d67-491a-91da-133e7f770198">
      <xsd:complexType>
        <xsd:complexContent>
          <xsd:extension base="dms:MultiChoiceLookup">
            <xsd:sequence>
              <xsd:element name="Value" type="dms:Lookup" maxOccurs="unbounded" minOccurs="0" nillable="true"/>
            </xsd:sequence>
          </xsd:extension>
        </xsd:complexContent>
      </xsd:complexType>
    </xsd:element>
    <xsd:element name="d62b7f4ed3a541c89c01ae711376debc" ma:index="11" nillable="true" ma:taxonomy="true" ma:internalName="d62b7f4ed3a541c89c01ae711376debc" ma:taxonomyFieldName="Team" ma:displayName="Team" ma:readOnly="false" ma:fieldId="{d62b7f4e-d3a5-41c8-9c01-ae711376debc}" ma:sspId="1b1a5f6f-728f-43b1-b9cf-ecd55ec1f47a" ma:termSetId="2ace34d1-ffcc-4158-a5ba-7d07fe05ce9a" ma:anchorId="00000000-0000-0000-0000-000000000000" ma:open="false" ma:isKeyword="false">
      <xsd:complexType>
        <xsd:sequence>
          <xsd:element ref="pc:Terms" minOccurs="0" maxOccurs="1"/>
        </xsd:sequence>
      </xsd:complexType>
    </xsd:element>
    <xsd:element name="e3fec0a48afc471b8d585f093684bac5" ma:index="15" nillable="true" ma:taxonomy="true" ma:internalName="e3fec0a48afc471b8d585f093684bac5" ma:taxonomyFieldName="Business_x0020_Process" ma:displayName="Business Process" ma:readOnly="false" ma:fieldId="{e3fec0a4-8afc-471b-8d58-5f093684bac5}" ma:sspId="1b1a5f6f-728f-43b1-b9cf-ecd55ec1f47a" ma:termSetId="0a51e5b7-5b97-4b89-a26b-f9525d92f89c"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00611f31-595e-4bcb-9144-80731690ae97}" ma:internalName="TaxCatchAll" ma:readOnly="false" ma:showField="CatchAllData" ma:web="1888ab45-0d67-491a-91da-133e7f770198">
      <xsd:complexType>
        <xsd:complexContent>
          <xsd:extension base="dms:MultiChoiceLookup">
            <xsd:sequence>
              <xsd:element name="Value" type="dms:Lookup" maxOccurs="unbounded" minOccurs="0" nillable="true"/>
            </xsd:sequence>
          </xsd:extension>
        </xsd:complexContent>
      </xsd:complex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0e30b2f-cf26-47ef-88c7-d5236bb325b9" elementFormDefault="qualified">
    <xsd:import namespace="http://schemas.microsoft.com/office/2006/documentManagement/types"/>
    <xsd:import namespace="http://schemas.microsoft.com/office/infopath/2007/PartnerControls"/>
    <xsd:element name="MediaServiceKeyPoints" ma:index="21" nillable="true" ma:displayName="KeyPoints" ma:internalName="MediaServiceKeyPoints" ma:readOnly="true">
      <xsd:simpleType>
        <xsd:restriction base="dms:Note">
          <xsd:maxLength value="255"/>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ative_x0020_Title xmlns="ab47cd3e-2d7a-4819-b96f-e15a13f0f416">false</Native_x0020_Title>
    <e3fec0a48afc471b8d585f093684bac5 xmlns="ab47cd3e-2d7a-4819-b96f-e15a13f0f416">
      <Terms xmlns="http://schemas.microsoft.com/office/infopath/2007/PartnerControls">
        <TermInfo xmlns="http://schemas.microsoft.com/office/infopath/2007/PartnerControls">
          <TermName xmlns="http://schemas.microsoft.com/office/infopath/2007/PartnerControls">Trade Waste Monitoring</TermName>
          <TermId xmlns="http://schemas.microsoft.com/office/infopath/2007/PartnerControls">77d4ffa6-2526-47b0-83a8-f66ecaeb605e</TermId>
        </TermInfo>
      </Terms>
    </e3fec0a48afc471b8d585f093684bac5>
    <TaxCatchAll xmlns="ab47cd3e-2d7a-4819-b96f-e15a13f0f416">
      <Value>8</Value>
      <Value>4</Value>
    </TaxCatchAll>
    <Security_x0020_Classification xmlns="ab47cd3e-2d7a-4819-b96f-e15a13f0f416">For Official Use Only</Security_x0020_Classification>
    <Record_x0020_Creation_x0020_Date xmlns="ab47cd3e-2d7a-4819-b96f-e15a13f0f416" xsi:nil="true"/>
    <d62b7f4ed3a541c89c01ae711376debc xmlns="ab47cd3e-2d7a-4819-b96f-e15a13f0f416">
      <Terms xmlns="http://schemas.microsoft.com/office/infopath/2007/PartnerControls">
        <TermInfo xmlns="http://schemas.microsoft.com/office/infopath/2007/PartnerControls">
          <TermName xmlns="http://schemas.microsoft.com/office/infopath/2007/PartnerControls">Trade Waste ＆ Networks</TermName>
          <TermId xmlns="http://schemas.microsoft.com/office/infopath/2007/PartnerControls">8003339d-faf9-4d92-b5fb-4146c659bd96</TermId>
        </TermInfo>
      </Terms>
    </d62b7f4ed3a541c89c01ae711376debc>
    <_dlc_DocId xmlns="ab47cd3e-2d7a-4819-b96f-e15a13f0f416">NRKXRU53NRXR-582284279-20760</_dlc_DocId>
    <_dlc_DocIdUrl xmlns="ab47cd3e-2d7a-4819-b96f-e15a13f0f416">
      <Url>https://sawater.sharepoint.com/teams/twn/_layouts/15/DocIdRedir.aspx?ID=NRKXRU53NRXR-582284279-20760</Url>
      <Description>NRKXRU53NRXR-582284279-20760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1b1a5f6f-728f-43b1-b9cf-ecd55ec1f47a" ContentTypeId="0x0101001752DFC9D8433C4999EC38E8E29B3199" PreviousValue="false"/>
</file>

<file path=customXml/itemProps1.xml><?xml version="1.0" encoding="utf-8"?>
<ds:datastoreItem xmlns:ds="http://schemas.openxmlformats.org/officeDocument/2006/customXml" ds:itemID="{9B8A553B-A803-4FF2-8548-E6A82E28BD61}">
  <ds:schemaRefs>
    <ds:schemaRef ds:uri="http://schemas.microsoft.com/office/2006/metadata/longProperties"/>
  </ds:schemaRefs>
</ds:datastoreItem>
</file>

<file path=customXml/itemProps2.xml><?xml version="1.0" encoding="utf-8"?>
<ds:datastoreItem xmlns:ds="http://schemas.openxmlformats.org/officeDocument/2006/customXml" ds:itemID="{B36FC933-DF75-4047-BCC1-9596F1795F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47cd3e-2d7a-4819-b96f-e15a13f0f416"/>
    <ds:schemaRef ds:uri="f0e30b2f-cf26-47ef-88c7-d5236bb325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870207-4FEB-4971-AF25-5420834873BF}">
  <ds:schemaRefs>
    <ds:schemaRef ds:uri="http://purl.org/dc/terms/"/>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 ds:uri="http://purl.org/dc/elements/1.1/"/>
    <ds:schemaRef ds:uri="http://schemas.openxmlformats.org/package/2006/metadata/core-properties"/>
    <ds:schemaRef ds:uri="f0e30b2f-cf26-47ef-88c7-d5236bb325b9"/>
    <ds:schemaRef ds:uri="ab47cd3e-2d7a-4819-b96f-e15a13f0f416"/>
  </ds:schemaRefs>
</ds:datastoreItem>
</file>

<file path=customXml/itemProps4.xml><?xml version="1.0" encoding="utf-8"?>
<ds:datastoreItem xmlns:ds="http://schemas.openxmlformats.org/officeDocument/2006/customXml" ds:itemID="{66F452BB-5394-4CF6-B5CF-30F45F140CAF}">
  <ds:schemaRefs>
    <ds:schemaRef ds:uri="http://schemas.microsoft.com/sharepoint/v3/contenttype/forms"/>
  </ds:schemaRefs>
</ds:datastoreItem>
</file>

<file path=customXml/itemProps5.xml><?xml version="1.0" encoding="utf-8"?>
<ds:datastoreItem xmlns:ds="http://schemas.openxmlformats.org/officeDocument/2006/customXml" ds:itemID="{F7498C5F-66BA-4CCC-8262-FAD699B21B80}">
  <ds:schemaRefs>
    <ds:schemaRef ds:uri="http://schemas.microsoft.com/sharepoint/events"/>
  </ds:schemaRefs>
</ds:datastoreItem>
</file>

<file path=customXml/itemProps6.xml><?xml version="1.0" encoding="utf-8"?>
<ds:datastoreItem xmlns:ds="http://schemas.openxmlformats.org/officeDocument/2006/customXml" ds:itemID="{8BFD4659-0D2B-4E99-A181-8292C48AF76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Trade Waste Charges Calculator</vt:lpstr>
      <vt:lpstr>TW Charges</vt:lpstr>
      <vt:lpstr>'Trade Waste Charges Calculator'!Print_Area</vt:lpstr>
    </vt:vector>
  </TitlesOfParts>
  <Manager/>
  <Company>SA Water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Trade Waste VLB calculator 2025-26</dc:title>
  <dc:subject/>
  <dc:creator>SA Water Corporation</dc:creator>
  <cp:keywords/>
  <dc:description/>
  <cp:lastModifiedBy>Rogers, Gianina</cp:lastModifiedBy>
  <cp:revision/>
  <dcterms:created xsi:type="dcterms:W3CDTF">2002-02-11T00:26:45Z</dcterms:created>
  <dcterms:modified xsi:type="dcterms:W3CDTF">2026-06-26T05:37:17Z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W Security Members Group">
    <vt:lpwstr/>
  </property>
  <property fmtid="{D5CDD505-2E9C-101B-9397-08002B2CF9AE}" pid="3" name="SAW Security Visitors Group">
    <vt:lpwstr/>
  </property>
  <property fmtid="{D5CDD505-2E9C-101B-9397-08002B2CF9AE}" pid="4" name="Business Process">
    <vt:lpwstr>4;#Trade Waste Monitoring|77d4ffa6-2526-47b0-83a8-f66ecaeb605e</vt:lpwstr>
  </property>
  <property fmtid="{D5CDD505-2E9C-101B-9397-08002B2CF9AE}" pid="5" name="Team">
    <vt:lpwstr>8;#Trade Waste ＆ Networks|8003339d-faf9-4d92-b5fb-4146c659bd96</vt:lpwstr>
  </property>
  <property fmtid="{D5CDD505-2E9C-101B-9397-08002B2CF9AE}" pid="6" name="LegacyContentTypeField">
    <vt:lpwstr/>
  </property>
  <property fmtid="{D5CDD505-2E9C-101B-9397-08002B2CF9AE}" pid="7" name="VideoHeightInPixels">
    <vt:lpwstr/>
  </property>
  <property fmtid="{D5CDD505-2E9C-101B-9397-08002B2CF9AE}" pid="8" name="display_urn:schemas-microsoft-com:office:office#Editor">
    <vt:lpwstr>Rogers, Gianina</vt:lpwstr>
  </property>
  <property fmtid="{D5CDD505-2E9C-101B-9397-08002B2CF9AE}" pid="9" name="Business Unit">
    <vt:lpwstr/>
  </property>
  <property fmtid="{D5CDD505-2E9C-101B-9397-08002B2CF9AE}" pid="10" name="Meeting Number">
    <vt:lpwstr/>
  </property>
  <property fmtid="{D5CDD505-2E9C-101B-9397-08002B2CF9AE}" pid="11" name="URL">
    <vt:lpwstr/>
  </property>
  <property fmtid="{D5CDD505-2E9C-101B-9397-08002B2CF9AE}" pid="12" name="Meeting Purpose">
    <vt:lpwstr/>
  </property>
  <property fmtid="{D5CDD505-2E9C-101B-9397-08002B2CF9AE}" pid="13" name="AlternateThumbnailUrl">
    <vt:lpwstr/>
  </property>
  <property fmtid="{D5CDD505-2E9C-101B-9397-08002B2CF9AE}" pid="14" name="WorkFax">
    <vt:lpwstr/>
  </property>
  <property fmtid="{D5CDD505-2E9C-101B-9397-08002B2CF9AE}" pid="15" name="wic_System_Copyright">
    <vt:lpwstr/>
  </property>
  <property fmtid="{D5CDD505-2E9C-101B-9397-08002B2CF9AE}" pid="16" name="Importance">
    <vt:lpwstr/>
  </property>
  <property fmtid="{D5CDD505-2E9C-101B-9397-08002B2CF9AE}" pid="17" name="Return-Path">
    <vt:lpwstr/>
  </property>
  <property fmtid="{D5CDD505-2E9C-101B-9397-08002B2CF9AE}" pid="18" name="Reference Subject">
    <vt:lpwstr/>
  </property>
  <property fmtid="{D5CDD505-2E9C-101B-9397-08002B2CF9AE}" pid="19" name="To">
    <vt:lpwstr/>
  </property>
  <property fmtid="{D5CDD505-2E9C-101B-9397-08002B2CF9AE}" pid="20" name="Cc">
    <vt:lpwstr/>
  </property>
  <property fmtid="{D5CDD505-2E9C-101B-9397-08002B2CF9AE}" pid="21" name="Meeting Date">
    <vt:lpwstr/>
  </property>
  <property fmtid="{D5CDD505-2E9C-101B-9397-08002B2CF9AE}" pid="22" name="Meeting Name">
    <vt:lpwstr/>
  </property>
  <property fmtid="{D5CDD505-2E9C-101B-9397-08002B2CF9AE}" pid="23" name="Security Classification">
    <vt:lpwstr/>
  </property>
  <property fmtid="{D5CDD505-2E9C-101B-9397-08002B2CF9AE}" pid="24" name="MediaLengthInSeconds">
    <vt:lpwstr/>
  </property>
  <property fmtid="{D5CDD505-2E9C-101B-9397-08002B2CF9AE}" pid="25" name="From1">
    <vt:lpwstr/>
  </property>
  <property fmtid="{D5CDD505-2E9C-101B-9397-08002B2CF9AE}" pid="26" name="X-MS-Has-Attach">
    <vt:lpwstr/>
  </property>
  <property fmtid="{D5CDD505-2E9C-101B-9397-08002B2CF9AE}" pid="27" name="Sent">
    <vt:lpwstr/>
  </property>
  <property fmtid="{D5CDD505-2E9C-101B-9397-08002B2CF9AE}" pid="28" name="VideoWidthInPixels">
    <vt:lpwstr/>
  </property>
  <property fmtid="{D5CDD505-2E9C-101B-9397-08002B2CF9AE}" pid="29" name="Record Type">
    <vt:lpwstr/>
  </property>
  <property fmtid="{D5CDD505-2E9C-101B-9397-08002B2CF9AE}" pid="30" name="LegacySecClassField">
    <vt:lpwstr/>
  </property>
  <property fmtid="{D5CDD505-2E9C-101B-9397-08002B2CF9AE}" pid="31" name="DocumentSetDescription">
    <vt:lpwstr/>
  </property>
  <property fmtid="{D5CDD505-2E9C-101B-9397-08002B2CF9AE}" pid="32" name="display_urn:schemas-microsoft-com:office:office#Author">
    <vt:lpwstr>Smith, Stacey</vt:lpwstr>
  </property>
  <property fmtid="{D5CDD505-2E9C-101B-9397-08002B2CF9AE}" pid="33" name="_dlc_DocId">
    <vt:lpwstr>NRKXRU53NRXR-582284279-19910</vt:lpwstr>
  </property>
  <property fmtid="{D5CDD505-2E9C-101B-9397-08002B2CF9AE}" pid="34" name="_dlc_DocIdItemGuid">
    <vt:lpwstr>89309e4c-409d-47d8-9ba6-88f5b0a89998</vt:lpwstr>
  </property>
  <property fmtid="{D5CDD505-2E9C-101B-9397-08002B2CF9AE}" pid="35" name="_dlc_DocIdUrl">
    <vt:lpwstr>https://sawater.sharepoint.com/teams/twn/_layouts/15/DocIdRedir.aspx?ID=NRKXRU53NRXR-582284279-19910, NRKXRU53NRXR-582284279-19910</vt:lpwstr>
  </property>
  <property fmtid="{D5CDD505-2E9C-101B-9397-08002B2CF9AE}" pid="36" name="ContentTypeId">
    <vt:lpwstr>0x0101001752DFC9D8433C4999EC38E8E29B3199000F157A2E7BBD2947BE2F12CD004AB7EF009121807B5E4EA2479FD068D281CFC441</vt:lpwstr>
  </property>
  <property fmtid="{D5CDD505-2E9C-101B-9397-08002B2CF9AE}" pid="37" name="Business_x0020_Process">
    <vt:lpwstr>4;#Trade Waste Monitoring|77d4ffa6-2526-47b0-83a8-f66ecaeb605e</vt:lpwstr>
  </property>
  <property fmtid="{D5CDD505-2E9C-101B-9397-08002B2CF9AE}" pid="38" name="MediaServiceImageTags">
    <vt:lpwstr/>
  </property>
</Properties>
</file>